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gdlluzmv\Box\GPSC Sustainability Team Work Folder\Renewable Energy\"/>
    </mc:Choice>
  </mc:AlternateContent>
  <xr:revisionPtr revIDLastSave="0" documentId="13_ncr:1_{C50768FE-F07D-4870-8C48-9959A457FAB5}" xr6:coauthVersionLast="47" xr6:coauthVersionMax="47" xr10:uidLastSave="{00000000-0000-0000-0000-000000000000}"/>
  <bookViews>
    <workbookView xWindow="28680" yWindow="-120" windowWidth="29040" windowHeight="15840" activeTab="2" xr2:uid="{D9E85665-7838-4CBE-8A46-274F7BCC822E}"/>
  </bookViews>
  <sheets>
    <sheet name="Instructions 说明" sheetId="8" r:id="rId1"/>
    <sheet name="Data Validation Tab" sheetId="3" state="hidden" r:id="rId2"/>
    <sheet name="Energy Consumption Global全球能源消耗" sheetId="2" r:id="rId3"/>
    <sheet name="Scrap and GHG Tab 废料和温室气体页" sheetId="7" r:id="rId4"/>
    <sheet name="Energy Conversions Tab 能量转换页" sheetId="5" r:id="rId5"/>
    <sheet name="Definitions Tab 定义页" sheetId="6" r:id="rId6"/>
  </sheets>
  <externalReferences>
    <externalReference r:id="rId7"/>
    <externalReference r:id="rId8"/>
    <externalReference r:id="rId9"/>
    <externalReference r:id="rId10"/>
    <externalReference r:id="rId11"/>
    <externalReference r:id="rId12"/>
  </externalReferences>
  <definedNames>
    <definedName name="\a">'[1]FA-LISTING'!#REF!</definedName>
    <definedName name="\p">'[1]FA-LISTING'!#REF!</definedName>
    <definedName name="__B119743">#REF!</definedName>
    <definedName name="__B197640">#REF!</definedName>
    <definedName name="_B119743">#REF!</definedName>
    <definedName name="_B197640">#REF!</definedName>
    <definedName name="a">[2]Sheet3!$A$1:$A$5</definedName>
    <definedName name="B">#REF!</definedName>
    <definedName name="BLDG">'[1]FA-LISTING'!#REF!</definedName>
    <definedName name="BLDGIMP">'[1]FA-LISTING'!#REF!</definedName>
    <definedName name="BLDGREV">'[1]FA-LISTING'!#REF!</definedName>
    <definedName name="Closed">#REF!</definedName>
    <definedName name="COMP">'[1]FA-LISTING'!#REF!</definedName>
    <definedName name="Disposition">[3]list!$A$4:$A$6</definedName>
    <definedName name="FF">'[1]FA-LISTING'!#REF!</definedName>
    <definedName name="FGI">'[4]FGI-TEWKS'!$A$1:$X$297</definedName>
    <definedName name="FORK">'[1]FA-LISTING'!#REF!</definedName>
    <definedName name="GPO">[5]Sheet3!$A$1:$A$5</definedName>
    <definedName name="GPONAME">#REF!</definedName>
    <definedName name="LANDIMP">'[1]FA-LISTING'!#REF!</definedName>
    <definedName name="LANDREV">'[1]FA-LISTING'!#REF!</definedName>
    <definedName name="MaxSeq">#REF!</definedName>
    <definedName name="MT">'[6]Input Giovanni'!#REF!</definedName>
    <definedName name="MV">'[1]FA-LISTING'!#REF!</definedName>
    <definedName name="NamedRange1">#REF!</definedName>
    <definedName name="NamedRange2">#REF!</definedName>
    <definedName name="OE">'[1]FA-LISTING'!#REF!</definedName>
    <definedName name="Open">#REF!</definedName>
    <definedName name="P">#REF!</definedName>
    <definedName name="P_M">'[1]FA-LISTING'!#REF!</definedName>
    <definedName name="_xlnm.Print_Area" localSheetId="0">'Instructions 说明'!$A$1:$L$21</definedName>
    <definedName name="Prototype">#REF!</definedName>
    <definedName name="pullahead">#REF!</definedName>
    <definedName name="quickturn">#REF!</definedName>
    <definedName name="SerialNumbers">'[4]Serialized Inventory'!$A$1:$Z$200</definedName>
    <definedName name="table1">#REF!</definedName>
    <definedName name="table2">#REF!</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5" l="1"/>
  <c r="E57" i="5"/>
  <c r="E56" i="5"/>
  <c r="E55" i="5"/>
  <c r="E54" i="5"/>
  <c r="E53" i="5"/>
  <c r="E52" i="5"/>
  <c r="E51" i="5"/>
  <c r="E50" i="5"/>
  <c r="K28" i="5"/>
  <c r="J28" i="5"/>
  <c r="W45" i="5"/>
  <c r="W44" i="5"/>
  <c r="W25" i="5"/>
  <c r="W24" i="5"/>
  <c r="N22" i="5"/>
  <c r="N23" i="5"/>
  <c r="U25" i="5"/>
  <c r="U24" i="5"/>
  <c r="N46" i="5"/>
  <c r="O46" i="5"/>
  <c r="O26" i="5"/>
  <c r="N26" i="5"/>
  <c r="U45" i="5"/>
  <c r="U44" i="5"/>
  <c r="N43" i="5"/>
  <c r="N42" i="5"/>
  <c r="N65" i="5"/>
  <c r="N62" i="5"/>
  <c r="C87" i="5"/>
  <c r="C77" i="5"/>
  <c r="C63" i="5"/>
  <c r="C64" i="5"/>
  <c r="C62" i="5"/>
  <c r="D48" i="5"/>
  <c r="C48" i="5"/>
  <c r="C45" i="5"/>
  <c r="D39" i="5"/>
  <c r="C39" i="5"/>
  <c r="C37" i="5"/>
  <c r="J64" i="5"/>
  <c r="J48" i="5"/>
  <c r="K48" i="5"/>
  <c r="K39" i="5"/>
  <c r="J39" i="5"/>
  <c r="J27" i="5"/>
  <c r="G27" i="5"/>
  <c r="D27" i="5"/>
  <c r="C27" i="5"/>
  <c r="C25" i="5"/>
  <c r="C23" i="5"/>
  <c r="C22" i="5"/>
  <c r="C18" i="5"/>
  <c r="D17" i="5"/>
  <c r="D16" i="5"/>
  <c r="C15" i="5"/>
  <c r="D14" i="5"/>
  <c r="D13" i="5"/>
  <c r="C12" i="5"/>
  <c r="D10" i="5"/>
  <c r="D9" i="5"/>
  <c r="D8" i="5"/>
  <c r="D7" i="5"/>
  <c r="C6" i="5"/>
  <c r="C5" i="5"/>
  <c r="C2" i="5"/>
  <c r="B37" i="6"/>
  <c r="B36" i="6"/>
  <c r="B35" i="6"/>
  <c r="B34" i="6"/>
  <c r="B33" i="6"/>
  <c r="B32" i="6"/>
  <c r="D1" i="6"/>
  <c r="C1" i="6"/>
  <c r="A1" i="6"/>
  <c r="B68" i="6"/>
  <c r="A67" i="6"/>
  <c r="B66" i="6"/>
  <c r="A65" i="6"/>
  <c r="B64" i="6"/>
  <c r="B63" i="6"/>
  <c r="B62" i="6"/>
  <c r="A61" i="6"/>
  <c r="A60" i="6"/>
  <c r="A59" i="6"/>
  <c r="D68" i="6" l="1"/>
  <c r="D67" i="6"/>
  <c r="D66" i="6"/>
  <c r="D65" i="6"/>
  <c r="D64" i="6"/>
  <c r="D63" i="6"/>
  <c r="D62" i="6"/>
  <c r="D61" i="6"/>
  <c r="D60" i="6"/>
  <c r="D59" i="6"/>
  <c r="D58" i="6"/>
  <c r="D57" i="6"/>
  <c r="D56" i="6"/>
  <c r="D55" i="6"/>
  <c r="B58" i="6"/>
  <c r="B57" i="6"/>
  <c r="B56" i="6"/>
  <c r="B55" i="6"/>
  <c r="D54" i="6"/>
  <c r="A54" i="6"/>
  <c r="D53" i="6"/>
  <c r="D52" i="6"/>
  <c r="D51" i="6"/>
  <c r="D50" i="6"/>
  <c r="D49" i="6"/>
  <c r="B53" i="6"/>
  <c r="B52" i="6"/>
  <c r="B51" i="6"/>
  <c r="B50" i="6"/>
  <c r="B49" i="6"/>
  <c r="D48" i="6"/>
  <c r="D47" i="6"/>
  <c r="D46" i="6"/>
  <c r="D45" i="6"/>
  <c r="D44" i="6"/>
  <c r="D43" i="6"/>
  <c r="A48" i="6" l="1"/>
  <c r="A47" i="6"/>
  <c r="A46" i="6"/>
  <c r="A45" i="6"/>
  <c r="A44" i="6"/>
  <c r="A43" i="6"/>
  <c r="B42" i="6"/>
  <c r="B41" i="6"/>
  <c r="B40" i="6"/>
  <c r="B39" i="6"/>
  <c r="B38" i="6"/>
  <c r="B31" i="6"/>
  <c r="D42" i="6"/>
  <c r="D41" i="6"/>
  <c r="D40" i="6"/>
  <c r="D39" i="6"/>
  <c r="D38" i="6"/>
  <c r="D37" i="6"/>
  <c r="D36" i="6"/>
  <c r="D35" i="6"/>
  <c r="D34" i="6"/>
  <c r="D33" i="6"/>
  <c r="D32" i="6"/>
  <c r="D31" i="6"/>
  <c r="D30" i="6"/>
  <c r="A30" i="6"/>
  <c r="D24" i="6"/>
  <c r="D23" i="6"/>
  <c r="D29" i="6"/>
  <c r="D28" i="6"/>
  <c r="D27" i="6"/>
  <c r="D26" i="6"/>
  <c r="D25" i="6"/>
  <c r="B29" i="6"/>
  <c r="B28" i="6"/>
  <c r="B27" i="6"/>
  <c r="B26" i="6"/>
  <c r="B25" i="6"/>
  <c r="A24" i="6"/>
  <c r="D22" i="6"/>
  <c r="D21" i="6"/>
  <c r="D20" i="6"/>
  <c r="D19" i="6"/>
  <c r="D18" i="6"/>
  <c r="D17" i="6"/>
  <c r="D16" i="6"/>
  <c r="D15" i="6"/>
  <c r="D14" i="6"/>
  <c r="D13" i="6"/>
  <c r="B22" i="6"/>
  <c r="B21" i="6"/>
  <c r="B20" i="6"/>
  <c r="B19" i="6"/>
  <c r="B18" i="6"/>
  <c r="B17" i="6"/>
  <c r="B16" i="6"/>
  <c r="B15" i="6"/>
  <c r="B14" i="6"/>
  <c r="B13" i="6"/>
  <c r="D12" i="6"/>
  <c r="D11" i="6"/>
  <c r="D10" i="6"/>
  <c r="D9" i="6"/>
  <c r="D8" i="6"/>
  <c r="D7" i="6"/>
  <c r="D6" i="6"/>
  <c r="D5" i="6"/>
  <c r="D4" i="6"/>
  <c r="D3" i="6"/>
  <c r="D2" i="6"/>
  <c r="A12" i="6"/>
  <c r="A11" i="6"/>
  <c r="A10" i="6"/>
  <c r="B9" i="6"/>
  <c r="B8" i="6"/>
  <c r="B7" i="6"/>
  <c r="B6" i="6"/>
  <c r="B5" i="6"/>
  <c r="B4" i="6"/>
  <c r="B3" i="6"/>
  <c r="A2" i="6"/>
  <c r="F33" i="7"/>
  <c r="E33" i="7"/>
  <c r="D33" i="7"/>
  <c r="C33" i="7"/>
  <c r="B33" i="7"/>
  <c r="A33" i="7"/>
  <c r="D28" i="7"/>
  <c r="C28" i="7"/>
  <c r="B28" i="7"/>
  <c r="A28" i="7"/>
  <c r="A26" i="7"/>
  <c r="A25" i="7"/>
  <c r="A23" i="7"/>
  <c r="F17" i="7"/>
  <c r="E17" i="7"/>
  <c r="D17" i="7"/>
  <c r="C17" i="7"/>
  <c r="B17" i="7"/>
  <c r="A17" i="7"/>
  <c r="G13" i="7"/>
  <c r="F13" i="7"/>
  <c r="E13" i="7"/>
  <c r="D13" i="7"/>
  <c r="C13" i="7"/>
  <c r="B13" i="7"/>
  <c r="A13" i="7"/>
  <c r="A10" i="7"/>
  <c r="G6" i="7"/>
  <c r="F6" i="7"/>
  <c r="E6" i="7"/>
  <c r="D6" i="7"/>
  <c r="C6" i="7"/>
  <c r="B6" i="7"/>
  <c r="A6" i="7"/>
  <c r="A4" i="7"/>
  <c r="A3" i="7"/>
  <c r="A1" i="7"/>
  <c r="D94" i="2"/>
  <c r="C94" i="2"/>
  <c r="B94" i="2"/>
  <c r="A94" i="2"/>
  <c r="C90" i="2"/>
  <c r="B90" i="2"/>
  <c r="A90" i="2"/>
  <c r="A88" i="2"/>
  <c r="F65" i="2"/>
  <c r="E65" i="2"/>
  <c r="D65" i="2"/>
  <c r="C65" i="2"/>
  <c r="B65" i="2"/>
  <c r="A65" i="2"/>
  <c r="A62" i="2"/>
  <c r="A52" i="2"/>
  <c r="A44" i="2"/>
  <c r="A36" i="2"/>
  <c r="A35" i="2"/>
  <c r="A27" i="2"/>
  <c r="A18" i="2"/>
  <c r="H17" i="2"/>
  <c r="G17" i="2"/>
  <c r="F17" i="2"/>
  <c r="E17" i="2"/>
  <c r="D17" i="2"/>
  <c r="D16" i="2"/>
  <c r="C16" i="2"/>
  <c r="B16" i="2"/>
  <c r="A16" i="2"/>
  <c r="A14" i="2"/>
  <c r="H10" i="2"/>
  <c r="G10" i="2"/>
  <c r="F10" i="2"/>
  <c r="E10" i="2"/>
  <c r="D10" i="2"/>
  <c r="B10" i="2"/>
  <c r="A10" i="2" l="1"/>
  <c r="E9" i="2"/>
  <c r="A8" i="2"/>
  <c r="A7" i="2"/>
  <c r="A6" i="2"/>
  <c r="D4" i="2"/>
  <c r="D3" i="2"/>
  <c r="D2" i="2"/>
  <c r="A2" i="2"/>
  <c r="A1" i="2"/>
  <c r="C4" i="8"/>
  <c r="A14" i="8" l="1"/>
  <c r="C13" i="8"/>
  <c r="C12" i="8"/>
  <c r="C11" i="8"/>
  <c r="C10" i="8"/>
  <c r="C9" i="8"/>
  <c r="C8" i="8"/>
  <c r="C7" i="8"/>
  <c r="C6" i="8"/>
  <c r="C5" i="8"/>
  <c r="A3" i="8"/>
  <c r="A1" i="8"/>
  <c r="H73" i="5" l="1"/>
  <c r="H72" i="5"/>
  <c r="H71" i="5"/>
  <c r="H70" i="5"/>
  <c r="H69" i="5"/>
  <c r="H68" i="5"/>
  <c r="H67" i="5"/>
  <c r="I67" i="5" s="1"/>
  <c r="K67" i="5" s="1"/>
  <c r="E71" i="5"/>
  <c r="E72" i="5"/>
  <c r="E73" i="5"/>
  <c r="E74" i="5"/>
  <c r="H74" i="5"/>
  <c r="E70" i="5"/>
  <c r="E69" i="5"/>
  <c r="E68" i="5"/>
  <c r="B26" i="7" l="1"/>
  <c r="B25" i="7"/>
  <c r="B4" i="7"/>
  <c r="B3" i="7"/>
  <c r="I74" i="5"/>
  <c r="K74" i="5" s="1"/>
  <c r="I73" i="5"/>
  <c r="K73" i="5" s="1"/>
  <c r="I72" i="5"/>
  <c r="K72" i="5" s="1"/>
  <c r="I71" i="5"/>
  <c r="K71" i="5" s="1"/>
  <c r="I69" i="5"/>
  <c r="K69" i="5" s="1"/>
  <c r="I68" i="5"/>
  <c r="K68" i="5" s="1"/>
  <c r="I70" i="5"/>
  <c r="K70" i="5" s="1"/>
  <c r="F74" i="5"/>
  <c r="D74" i="5" s="1"/>
  <c r="F73" i="5"/>
  <c r="D73" i="5" s="1"/>
  <c r="F72" i="5"/>
  <c r="D72" i="5" s="1"/>
  <c r="F71" i="5"/>
  <c r="D71" i="5" s="1"/>
  <c r="F70" i="5"/>
  <c r="D70" i="5" s="1"/>
  <c r="F69" i="5"/>
  <c r="D69" i="5" s="1"/>
  <c r="F68" i="5"/>
  <c r="D68" i="5" s="1"/>
  <c r="I51" i="5"/>
  <c r="K51" i="5" s="1"/>
  <c r="I52" i="5"/>
  <c r="K52" i="5" s="1"/>
  <c r="I53" i="5"/>
  <c r="K53" i="5" s="1"/>
  <c r="I54" i="5"/>
  <c r="K54" i="5" s="1"/>
  <c r="I55" i="5"/>
  <c r="K55" i="5" s="1"/>
  <c r="I56" i="5"/>
  <c r="K56" i="5" s="1"/>
  <c r="I57" i="5"/>
  <c r="K57" i="5" s="1"/>
  <c r="I58" i="5"/>
  <c r="K58" i="5" s="1"/>
  <c r="I50" i="5"/>
  <c r="K50" i="5" s="1"/>
  <c r="E30" i="5"/>
  <c r="I30" i="5" s="1"/>
  <c r="K30" i="5" s="1"/>
  <c r="F30" i="5"/>
  <c r="H30" i="5" s="1"/>
  <c r="J30" i="5" s="1"/>
  <c r="R4" i="3"/>
  <c r="R5" i="3"/>
  <c r="R6" i="3"/>
  <c r="R7" i="3"/>
  <c r="R8" i="3"/>
  <c r="R9" i="3"/>
  <c r="R10" i="3"/>
  <c r="R11" i="3"/>
  <c r="R12" i="3"/>
  <c r="R13" i="3"/>
  <c r="R3" i="3"/>
  <c r="E34" i="5"/>
  <c r="F34" i="5"/>
  <c r="H34" i="5" s="1"/>
  <c r="J34" i="5" s="1"/>
  <c r="R66" i="3"/>
  <c r="R67" i="3"/>
  <c r="R68" i="3"/>
  <c r="R69" i="3"/>
  <c r="R70" i="3"/>
  <c r="R71" i="3"/>
  <c r="R72" i="3"/>
  <c r="R73" i="3"/>
  <c r="R74" i="3"/>
  <c r="R75" i="3"/>
  <c r="R65" i="3"/>
  <c r="E33" i="5"/>
  <c r="I33" i="5" s="1"/>
  <c r="K33" i="5" s="1"/>
  <c r="F33" i="5"/>
  <c r="H33" i="5" s="1"/>
  <c r="J33" i="5" s="1"/>
  <c r="R51" i="3"/>
  <c r="R52" i="3"/>
  <c r="R53" i="3"/>
  <c r="R54" i="3"/>
  <c r="R55" i="3"/>
  <c r="R56" i="3"/>
  <c r="R57" i="3"/>
  <c r="R58" i="3"/>
  <c r="R59" i="3"/>
  <c r="R60" i="3"/>
  <c r="R50" i="3"/>
  <c r="E32" i="5"/>
  <c r="I32" i="5" s="1"/>
  <c r="K32" i="5" s="1"/>
  <c r="F32" i="5"/>
  <c r="H32" i="5" s="1"/>
  <c r="J32" i="5" s="1"/>
  <c r="F31" i="5"/>
  <c r="H31" i="5" s="1"/>
  <c r="J31" i="5" s="1"/>
  <c r="R43" i="3"/>
  <c r="R33" i="3"/>
  <c r="R38" i="3" s="1"/>
  <c r="E31" i="5"/>
  <c r="I31" i="5" s="1"/>
  <c r="K31" i="5" s="1"/>
  <c r="R25" i="3"/>
  <c r="R18" i="3"/>
  <c r="Q59" i="5"/>
  <c r="Q48" i="5"/>
  <c r="Q49" i="5"/>
  <c r="Q50" i="5"/>
  <c r="Q51" i="5"/>
  <c r="Q52" i="5"/>
  <c r="Q53" i="5"/>
  <c r="Q54" i="5"/>
  <c r="Q55" i="5"/>
  <c r="Q56" i="5"/>
  <c r="Q57" i="5"/>
  <c r="Q58" i="5"/>
  <c r="Q47" i="5"/>
  <c r="R17" i="3"/>
  <c r="R26" i="3" s="1"/>
  <c r="E42" i="5"/>
  <c r="I42" i="5" s="1"/>
  <c r="K42" i="5" s="1"/>
  <c r="AE7" i="3"/>
  <c r="AE6" i="3"/>
  <c r="AE5" i="3"/>
  <c r="AE4" i="3"/>
  <c r="AE3" i="3"/>
  <c r="AE2" i="3"/>
  <c r="E41" i="5"/>
  <c r="I41" i="5" s="1"/>
  <c r="K41" i="5" s="1"/>
  <c r="AA6" i="3"/>
  <c r="Z5" i="3"/>
  <c r="AA5" i="3" s="1"/>
  <c r="AA4" i="3"/>
  <c r="Z2" i="3"/>
  <c r="AA2" i="3" s="1"/>
  <c r="R37" i="3" l="1"/>
  <c r="R35" i="3"/>
  <c r="R24" i="3"/>
  <c r="R22" i="3"/>
  <c r="R34" i="3"/>
  <c r="R23" i="3"/>
  <c r="R44" i="3"/>
  <c r="R36" i="3"/>
  <c r="R21" i="3"/>
  <c r="R42" i="3"/>
  <c r="R28" i="3"/>
  <c r="R20" i="3"/>
  <c r="R41" i="3"/>
  <c r="R27" i="3"/>
  <c r="R19" i="3"/>
  <c r="R40" i="3"/>
  <c r="R39" i="3"/>
  <c r="I34" i="5"/>
  <c r="K34" i="5" s="1"/>
  <c r="T47" i="5"/>
  <c r="V47" i="5" s="1"/>
  <c r="S47" i="5"/>
  <c r="U47" i="5" s="1"/>
  <c r="S49" i="5"/>
  <c r="U49" i="5" s="1"/>
  <c r="T49" i="5"/>
  <c r="V49" i="5" s="1"/>
  <c r="T58" i="5"/>
  <c r="V58" i="5" s="1"/>
  <c r="S58" i="5"/>
  <c r="U58" i="5" s="1"/>
  <c r="S56" i="5"/>
  <c r="U56" i="5" s="1"/>
  <c r="T56" i="5"/>
  <c r="V56" i="5" s="1"/>
  <c r="S48" i="5"/>
  <c r="U48" i="5" s="1"/>
  <c r="T48" i="5"/>
  <c r="V48" i="5" s="1"/>
  <c r="T50" i="5"/>
  <c r="V50" i="5" s="1"/>
  <c r="S50" i="5"/>
  <c r="U50" i="5" s="1"/>
  <c r="S57" i="5"/>
  <c r="U57" i="5" s="1"/>
  <c r="T57" i="5"/>
  <c r="V57" i="5" s="1"/>
  <c r="T55" i="5"/>
  <c r="V55" i="5" s="1"/>
  <c r="S55" i="5"/>
  <c r="U55" i="5" s="1"/>
  <c r="T54" i="5"/>
  <c r="V54" i="5" s="1"/>
  <c r="S54" i="5"/>
  <c r="U54" i="5" s="1"/>
  <c r="S51" i="5"/>
  <c r="U51" i="5" s="1"/>
  <c r="T51" i="5"/>
  <c r="V51" i="5" s="1"/>
  <c r="S53" i="5"/>
  <c r="U53" i="5" s="1"/>
  <c r="T53" i="5"/>
  <c r="V53" i="5" s="1"/>
  <c r="T52" i="5"/>
  <c r="V52" i="5" s="1"/>
  <c r="S52" i="5"/>
  <c r="U52" i="5" s="1"/>
  <c r="P59" i="5"/>
  <c r="Q28" i="5"/>
  <c r="T28" i="5" s="1"/>
  <c r="V28" i="5" s="1"/>
  <c r="Q29" i="5"/>
  <c r="T29" i="5" s="1"/>
  <c r="V29" i="5" s="1"/>
  <c r="Q30" i="5"/>
  <c r="T30" i="5" s="1"/>
  <c r="V30" i="5" s="1"/>
  <c r="Q31" i="5"/>
  <c r="T31" i="5" s="1"/>
  <c r="V31" i="5" s="1"/>
  <c r="Q32" i="5"/>
  <c r="T32" i="5" s="1"/>
  <c r="V32" i="5" s="1"/>
  <c r="Q33" i="5"/>
  <c r="T33" i="5" s="1"/>
  <c r="V33" i="5" s="1"/>
  <c r="Q34" i="5"/>
  <c r="T34" i="5" s="1"/>
  <c r="V34" i="5" s="1"/>
  <c r="Q35" i="5"/>
  <c r="T35" i="5" s="1"/>
  <c r="V35" i="5" s="1"/>
  <c r="Q36" i="5"/>
  <c r="T36" i="5" s="1"/>
  <c r="V36" i="5" s="1"/>
  <c r="Q37" i="5"/>
  <c r="T37" i="5" s="1"/>
  <c r="V37" i="5" s="1"/>
  <c r="Q38" i="5"/>
  <c r="T38" i="5" s="1"/>
  <c r="V38" i="5" s="1"/>
  <c r="Q39" i="5"/>
  <c r="Q27" i="5"/>
  <c r="T27" i="5" s="1"/>
  <c r="V27" i="5" s="1"/>
  <c r="O59" i="5"/>
  <c r="O39" i="5"/>
  <c r="T39" i="5" l="1"/>
  <c r="V39" i="5" s="1"/>
  <c r="T59" i="5"/>
  <c r="V59" i="5" s="1"/>
  <c r="S36" i="5"/>
  <c r="U36" i="5" s="1"/>
  <c r="S59" i="5"/>
  <c r="U59" i="5" s="1"/>
  <c r="S34" i="5"/>
  <c r="U34" i="5" s="1"/>
  <c r="S33" i="5"/>
  <c r="U33" i="5" s="1"/>
  <c r="S32" i="5"/>
  <c r="U32" i="5" s="1"/>
  <c r="S27" i="5"/>
  <c r="U27" i="5" s="1"/>
  <c r="S31" i="5"/>
  <c r="U31" i="5" s="1"/>
  <c r="S38" i="5"/>
  <c r="U38" i="5" s="1"/>
  <c r="S30" i="5"/>
  <c r="U30" i="5" s="1"/>
  <c r="S37" i="5"/>
  <c r="U37" i="5" s="1"/>
  <c r="S29" i="5"/>
  <c r="U29" i="5" s="1"/>
  <c r="S28" i="5"/>
  <c r="U28" i="5" s="1"/>
  <c r="S35" i="5"/>
  <c r="U35" i="5" s="1"/>
  <c r="F11" i="2"/>
  <c r="E11" i="2"/>
  <c r="S39" i="5" l="1"/>
  <c r="U39" i="5" s="1"/>
  <c r="G11" i="2"/>
  <c r="H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tc={C2CA39CB-E87C-4B1A-9B9B-01BDC5558DF8}</author>
    <author>tc={4D8FAEDE-38D4-4BC4-B69D-FA65C6C006FC}</author>
    <author>tc={5DB5E393-D578-4BC3-B19B-EEAF72705853}</author>
    <author>tc={3057457F-400E-4758-A0A2-EB50594666DA}</author>
    <author>tc={4B5DC24D-05DB-4641-8728-2328F2AB9BAA}</author>
    <author>tc={D25C7D3E-2174-4BA0-AF41-63A3A4F22208}</author>
    <author>tc={19DB053D-9610-4D71-BB14-F3F85F32325E}</author>
  </authors>
  <commentList>
    <comment ref="A10" authorId="0" shapeId="0" xr:uid="{C2CA39CB-E87C-4B1A-9B9B-01BDC5558DF8}">
      <text>
        <t>[Threaded comment]
Your version of Excel allows you to read this threaded comment; however, any edits to it will get removed if the file is opened in a newer version of Excel. Learn more: https://go.microsoft.com/fwlink/?linkid=870924
Comment:
    Please review renewable energies applicable in Definitions Tab</t>
      </text>
    </comment>
    <comment ref="B16" authorId="1" shapeId="0" xr:uid="{4D8FAEDE-38D4-4BC4-B69D-FA65C6C006FC}">
      <text>
        <t>[Threaded comment]
Your version of Excel allows you to read this threaded comment; however, any edits to it will get removed if the file is opened in a newer version of Excel. Learn more: https://go.microsoft.com/fwlink/?linkid=870924
Comment:
    You can use Energy conversions tab for stating energy in MWh</t>
      </text>
    </comment>
    <comment ref="C16" authorId="2" shapeId="0" xr:uid="{5DB5E393-D578-4BC3-B19B-EEAF72705853}">
      <text>
        <t>[Threaded comment]
Your version of Excel allows you to read this threaded comment; however, any edits to it will get removed if the file is opened in a newer version of Excel. Learn more: https://go.microsoft.com/fwlink/?linkid=870924
Comment:
    You can use Energy Conversions Tab for stating energy in MWh</t>
      </text>
    </comment>
    <comment ref="F17" authorId="3" shapeId="0" xr:uid="{3057457F-400E-4758-A0A2-EB50594666DA}">
      <text>
        <t>[Threaded comment]
Your version of Excel allows you to read this threaded comment; however, any edits to it will get removed if the file is opened in a newer version of Excel. Learn more: https://go.microsoft.com/fwlink/?linkid=870924
Comment:
    For each energy carrier in which you purchase renewable energy, this must add 100%</t>
      </text>
    </comment>
    <comment ref="H17" authorId="4" shapeId="0" xr:uid="{4B5DC24D-05DB-4641-8728-2328F2AB9BAA}">
      <text>
        <t>[Threaded comment]
Your version of Excel allows you to read this threaded comment; however, any edits to it will get removed if the file is opened in a newer version of Excel. Learn more: https://go.microsoft.com/fwlink/?linkid=870924
Comment:
    Find all EACs applicable in Definitions Tab</t>
      </text>
    </comment>
    <comment ref="A27" authorId="5" shapeId="0" xr:uid="{D25C7D3E-2174-4BA0-AF41-63A3A4F22208}">
      <text>
        <t>[Threaded comment]
Your version of Excel allows you to read this threaded comment; however, any edits to it will get removed if the file is opened in a newer version of Excel. Learn more: https://go.microsoft.com/fwlink/?linkid=870924
Comment:
    For electricity purposes/用于电力目的</t>
      </text>
    </comment>
    <comment ref="A44" authorId="6" shapeId="0" xr:uid="{19DB053D-9610-4D71-BB14-F3F85F32325E}">
      <text>
        <t>[Threaded comment]
Your version of Excel allows you to read this threaded comment; however, any edits to it will get removed if the file is opened in a newer version of Excel. Learn more: https://go.microsoft.com/fwlink/?linkid=870924
Comment:
    Include fuel transportation and manufacturing purposes/包括燃料运输和制造目的</t>
      </text>
    </comment>
  </commentList>
</comments>
</file>

<file path=xl/sharedStrings.xml><?xml version="1.0" encoding="utf-8"?>
<sst xmlns="http://schemas.openxmlformats.org/spreadsheetml/2006/main" count="436" uniqueCount="201">
  <si>
    <t>GEC</t>
  </si>
  <si>
    <t>GOO</t>
  </si>
  <si>
    <t>Indian REC</t>
  </si>
  <si>
    <t>I-REC</t>
  </si>
  <si>
    <t>REC</t>
  </si>
  <si>
    <t>J-Credit</t>
  </si>
  <si>
    <t>Australian LGC</t>
  </si>
  <si>
    <t>NFC-Renewable</t>
  </si>
  <si>
    <t>REGO</t>
  </si>
  <si>
    <t>TIGR</t>
  </si>
  <si>
    <t>T-REC</t>
  </si>
  <si>
    <t>US-REC</t>
  </si>
  <si>
    <t>Btu</t>
  </si>
  <si>
    <t>Mass</t>
  </si>
  <si>
    <t>Volume</t>
  </si>
  <si>
    <t>Metered</t>
  </si>
  <si>
    <t>Invoiced</t>
  </si>
  <si>
    <t>Estimated</t>
  </si>
  <si>
    <t>Other</t>
  </si>
  <si>
    <t>bbl</t>
  </si>
  <si>
    <t>ft3</t>
  </si>
  <si>
    <t>galUS</t>
  </si>
  <si>
    <t>galUK</t>
  </si>
  <si>
    <t>l</t>
  </si>
  <si>
    <t>m3</t>
  </si>
  <si>
    <t>Energy conversion</t>
  </si>
  <si>
    <t>MWh for Opt 1</t>
  </si>
  <si>
    <t>MWh for Opt 2</t>
  </si>
  <si>
    <t>g</t>
  </si>
  <si>
    <t>lb</t>
  </si>
  <si>
    <t>long ton</t>
  </si>
  <si>
    <t>tonne</t>
  </si>
  <si>
    <t>short ton</t>
  </si>
  <si>
    <t>Volume conversion</t>
  </si>
  <si>
    <t>Mass conversion</t>
  </si>
  <si>
    <t>J</t>
  </si>
  <si>
    <t>Cal</t>
  </si>
  <si>
    <t>Tce</t>
  </si>
  <si>
    <t>Toe</t>
  </si>
  <si>
    <t>Conversion to TJ/M3</t>
  </si>
  <si>
    <t>Converted amount</t>
  </si>
  <si>
    <t>galus</t>
  </si>
  <si>
    <t>galuk</t>
  </si>
  <si>
    <t>tong ton</t>
  </si>
  <si>
    <t>TOR</t>
  </si>
  <si>
    <t>btu/hr</t>
  </si>
  <si>
    <t>btu</t>
  </si>
  <si>
    <t>ft-pound/hrs</t>
  </si>
  <si>
    <t>HP/hr</t>
  </si>
  <si>
    <t>For others use mass and volume calcs</t>
  </si>
  <si>
    <t>Conversion to MWh</t>
  </si>
  <si>
    <t>others</t>
  </si>
  <si>
    <t>kWh</t>
  </si>
  <si>
    <t>MWH</t>
  </si>
  <si>
    <t>MWh</t>
  </si>
  <si>
    <t>TJ/M3</t>
  </si>
  <si>
    <t>TJ/Ton</t>
  </si>
  <si>
    <t>Conversión to KG/M3</t>
  </si>
  <si>
    <t>kg</t>
  </si>
  <si>
    <t>galUk</t>
  </si>
  <si>
    <t>BTU TO TJ</t>
  </si>
  <si>
    <t>J TO TJ</t>
  </si>
  <si>
    <t>Conversion to TJ/G</t>
  </si>
  <si>
    <t>CAL TO TJ</t>
  </si>
  <si>
    <t>TCE TO TJ</t>
  </si>
  <si>
    <t>TOE TO TJ</t>
  </si>
  <si>
    <t>GG</t>
  </si>
  <si>
    <t>HV in TJ/M3</t>
  </si>
  <si>
    <t>HV in TJ/Ton</t>
  </si>
  <si>
    <t>Unit converter – Analysis - IEA</t>
  </si>
  <si>
    <t>Online Conversion - Energy Conversion</t>
  </si>
  <si>
    <t>RE</t>
  </si>
  <si>
    <t>EBL</t>
  </si>
  <si>
    <t>RE100</t>
  </si>
  <si>
    <t>EAC</t>
  </si>
  <si>
    <t>EMS</t>
  </si>
  <si>
    <t>HV</t>
  </si>
  <si>
    <t>DU</t>
  </si>
  <si>
    <t>-</t>
  </si>
  <si>
    <t>GJ</t>
  </si>
  <si>
    <t>Deca</t>
  </si>
  <si>
    <t>Hecto</t>
  </si>
  <si>
    <t>Kilo</t>
  </si>
  <si>
    <t>Mega</t>
  </si>
  <si>
    <t>Giga</t>
  </si>
  <si>
    <t>Tera</t>
  </si>
  <si>
    <t>Peta</t>
  </si>
  <si>
    <t>Deci</t>
  </si>
  <si>
    <t>Centi</t>
  </si>
  <si>
    <t>Mili</t>
  </si>
  <si>
    <t>Micro</t>
  </si>
  <si>
    <t>Nano</t>
  </si>
  <si>
    <t>Pico</t>
  </si>
  <si>
    <t>Femto</t>
  </si>
  <si>
    <t>Factor</t>
  </si>
  <si>
    <t>Conversion</t>
  </si>
  <si>
    <t xml:space="preserve">1.5°C </t>
  </si>
  <si>
    <t>1.5°C to 2°C</t>
  </si>
  <si>
    <t>2°C</t>
  </si>
  <si>
    <t>Other, specify in next line</t>
  </si>
  <si>
    <t>Disclaimer: 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t>
  </si>
  <si>
    <t>XXXX</t>
  </si>
  <si>
    <t>aaa@abc.com</t>
  </si>
  <si>
    <t>GAM</t>
  </si>
  <si>
    <t>Market-based</t>
  </si>
  <si>
    <t>Location-based</t>
  </si>
  <si>
    <t>None</t>
  </si>
  <si>
    <t>GHG</t>
  </si>
  <si>
    <t>SBTis</t>
  </si>
  <si>
    <t>}</t>
  </si>
  <si>
    <t>1.5°C and 2°C</t>
  </si>
  <si>
    <t>Other, specify in the next line</t>
  </si>
  <si>
    <t>Without prefix</t>
  </si>
  <si>
    <t>.</t>
  </si>
  <si>
    <t>CV</t>
  </si>
  <si>
    <t>R2</t>
  </si>
  <si>
    <t>免责声明：Flex对以下不作任何保证，也不承担任何责任或义务 i) 内容中的错误或遗漏 ii）信息和材料的准确性或完整性；以及 iii）使用本文件中包含的任何信息得出的任何计算、结果或信息。在任何情况下，对于因使用或无法使用本文件而直接或间接导致的任何索赔、损害、损失、费用、成本或责任（包括但不限于利润损失、业务中断或信息损失的任何直接或间接损害），或依赖本文件中的信息和材料，Flex均不承担任何责任。Flex已作出合理努力，包括准确性和最新的信息</t>
  </si>
  <si>
    <t>SELECT THE LANGUAGE IN WHICH YOU WILL WORK THIS FILE</t>
  </si>
  <si>
    <t>English</t>
  </si>
  <si>
    <t>Chinese</t>
  </si>
  <si>
    <t>Yes/是</t>
  </si>
  <si>
    <t>No/否</t>
  </si>
  <si>
    <t>Do not know/不知道</t>
  </si>
  <si>
    <t>We have introduced renewable energies and are not planning any increases/我们已经引入了可再生能源，没有计划增加</t>
  </si>
  <si>
    <t>We introduced renewable energies and planing to increase its usage/我们引入了可再生能源，并计划增加其使用量</t>
  </si>
  <si>
    <t>We are planning to introduce renewable energies this year/我们计划今年引入可再生能源</t>
  </si>
  <si>
    <t>We are planning to introduce renewable energies the next 2 years/我们计划在未来两年引入可再生能源</t>
  </si>
  <si>
    <t>Important but not an immediate business priority/重要但非立刻业务优先级</t>
  </si>
  <si>
    <t>My organization doesn't have an EMS /我的组织没有能源管理体系</t>
  </si>
  <si>
    <t>My organization is planning to have an EMS/我的组织计划建立能源管理体系</t>
  </si>
  <si>
    <r>
      <t>My organization has an EMS/</t>
    </r>
    <r>
      <rPr>
        <b/>
        <sz val="10"/>
        <color theme="1"/>
        <rFont val="Arial"/>
        <family val="2"/>
      </rPr>
      <t>我的组织有能源管理体系</t>
    </r>
  </si>
  <si>
    <t>Is in process/正在进行中</t>
  </si>
  <si>
    <t>Company wide/公司范围</t>
  </si>
  <si>
    <t>Business division/事业部</t>
  </si>
  <si>
    <t>Business activity/商业活动</t>
  </si>
  <si>
    <t>Site/Facility//工厂/设施</t>
  </si>
  <si>
    <t>Country/Region//国家/地区</t>
  </si>
  <si>
    <t>Product-level/产品级</t>
  </si>
  <si>
    <t>Other,specifiy in next line/其他，在下一行中详述</t>
  </si>
  <si>
    <t>Scope 1/范围1</t>
  </si>
  <si>
    <t>Scope 1 &amp; 2/范围1和2</t>
  </si>
  <si>
    <t>Scope 1, 2 &amp; 3/范围1,2和3</t>
  </si>
  <si>
    <t>Scope 2/范围2</t>
  </si>
  <si>
    <t>Scope 2 &amp; 3/范围2和3</t>
  </si>
  <si>
    <t>Scope 3/范围3</t>
  </si>
  <si>
    <t>Scope 3 &amp;1/范围3和1</t>
  </si>
  <si>
    <t>We are planning to introduce targets in the next two years/我们计划在未来两年引入目标</t>
  </si>
  <si>
    <t>Judged to be unimportant/被判定为不重要</t>
  </si>
  <si>
    <t>Lack of internal resources/缺乏内部资源</t>
  </si>
  <si>
    <t>Insufficient data on operations/经营数据不足</t>
  </si>
  <si>
    <t>No instruction from management/无管理层指示</t>
  </si>
  <si>
    <t>Other, specifiy in next line/其他，在下一行中详述</t>
  </si>
  <si>
    <t>Absolute/绝对</t>
  </si>
  <si>
    <t>Intensity/强度</t>
  </si>
  <si>
    <t>Net-zero target(s)/净零目标</t>
  </si>
  <si>
    <t>Target(s) to reduce methane emissions/减少甲烷排放的目标</t>
  </si>
  <si>
    <t>Other climate-related target(s)/其他气候相关目标</t>
  </si>
  <si>
    <t>Yes, this target has been approved by the SBTi/是的，该目标已获得SBTi的批准</t>
  </si>
  <si>
    <t>Yes, we consider this a SBT, but it has not been approved by SBTi/是的，我们认为这是基于科学的目标，但尚未获得SBTi的批准</t>
  </si>
  <si>
    <t>No, but we are reporting another target that is science-based /没有，但我们正在报告另一个基于科学的目标</t>
  </si>
  <si>
    <t>No, but we anticipate setting one in the next 2 years/没有，但我们预计在未来两年内设定一个</t>
  </si>
  <si>
    <t>No, and we do not anticipate setting one in the next 2 years/没有，我们预计不会在未来两年内设定</t>
  </si>
  <si>
    <t>Wind/风能</t>
  </si>
  <si>
    <t>Solar Power/太阳能</t>
  </si>
  <si>
    <t>Hydro/水能</t>
  </si>
  <si>
    <t>Geothermal/地热能</t>
  </si>
  <si>
    <t>Biomass (biofuels)/生物能（生物燃料）</t>
  </si>
  <si>
    <t>Ocean-based/海洋能</t>
  </si>
  <si>
    <t>Renewable mix/可再生源混合</t>
  </si>
  <si>
    <t>Electricity/电力</t>
  </si>
  <si>
    <t>Steam/蒸汽</t>
  </si>
  <si>
    <t>Cooling/热能</t>
  </si>
  <si>
    <t>Heat/冷能</t>
  </si>
  <si>
    <t>Fuels/燃料</t>
  </si>
  <si>
    <t>None, this procurement method doesn't include EACs/无，此采购方式不含EAC</t>
  </si>
  <si>
    <t>Mass/质量单位</t>
  </si>
  <si>
    <t>Volume/体积单位</t>
  </si>
  <si>
    <t>Energy/能量单位</t>
  </si>
  <si>
    <t>Month 1/第 1 个月</t>
  </si>
  <si>
    <t>Month 2/第 2 个月</t>
  </si>
  <si>
    <t>Month 3/第 3 个月</t>
  </si>
  <si>
    <t>Month 4/第 4 个月</t>
  </si>
  <si>
    <t>Month 5/第 5 个月</t>
  </si>
  <si>
    <t>Month 6/第 6 个月</t>
  </si>
  <si>
    <t>Month 7/第 7 个月</t>
  </si>
  <si>
    <t>Month 8/第 8 个月</t>
  </si>
  <si>
    <t>Month 9/第 9 个月</t>
  </si>
  <si>
    <t>Month 10/第 10 个月</t>
  </si>
  <si>
    <t>Month 11/第 11 个月</t>
  </si>
  <si>
    <t>Month 12/第 12 个月</t>
  </si>
  <si>
    <t>Grand total/累计</t>
  </si>
  <si>
    <t>MWh for Opt 1/ MWh 选项1</t>
  </si>
  <si>
    <t>MWh for Opt 2/ MWh  选项2</t>
  </si>
  <si>
    <t>On site generation: EACs generated//现场生成：生成 EAC</t>
  </si>
  <si>
    <t>Onsite generation: NO EACs generated//现场生成：否
生成的 EAC</t>
  </si>
  <si>
    <t>Off-site generation: PPA/sleeved PPA (proof of delivery)//
场外生成：PPA/带交付证明的袖子 PPA</t>
  </si>
  <si>
    <t>Off-site generation: Virtual PPA (Proof via EAC)//
异地生成：通过 EAC 证明的虚拟 PPA</t>
  </si>
  <si>
    <t>Off-site generation: Green Power Tariff or Product//
异地发电：绿色电力关税或产品</t>
  </si>
  <si>
    <t>Unblundled EAC's//
不明原因的 EAC</t>
  </si>
  <si>
    <t>Power supplied by an electricity provider where the provider takes over the responsibility to provide the electricity either directly from renewable sources (e.g. PPAs) or procures and deletes unbundled EACs for the supplied electricity//由电力供应商提供的电力，其中供应商接管直接从可再生能源（例如 PPA）提供电力或为所提供的电力采购和删除非捆绑式 EAC</t>
  </si>
  <si>
    <t>Other: my organization does not have any of these mechanisms//
其他：我的组织没有任何这些机制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</si>
</sst>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0.000"/>
    <numFmt numFmtId="166" formatCode="0.000000000000"/>
    <numFmt numFmtId="167" formatCode="#,##0.0000000000000"/>
    <numFmt numFmtId="168" formatCode="0.0000E+00"/>
    <numFmt numFmtId="169" formatCode="#,##0.000"/>
  </numFmts>
  <fonts count="23" x14ac:knownFonts="1">
    <font>
      <sz val="10"/>
      <color theme="1"/>
      <name val="Arial"/>
    </font>
    <font>
      <sz val="11"/>
      <color theme="1"/>
      <name val="Calibri"/>
      <family val="2"/>
      <scheme val="minor"/>
    </font>
    <font>
      <b/>
      <sz val="10"/>
      <color theme="0"/>
      <name val="Century Gothic"/>
      <family val="2"/>
    </font>
    <font>
      <sz val="10"/>
      <color theme="1"/>
      <name val="Arial"/>
      <family val="2"/>
    </font>
    <font>
      <u/>
      <sz val="10"/>
      <color theme="10"/>
      <name val="Arial"/>
      <family val="2"/>
    </font>
    <font>
      <b/>
      <sz val="11"/>
      <color theme="0"/>
      <name val="Century Gothic"/>
      <family val="2"/>
    </font>
    <font>
      <b/>
      <sz val="10"/>
      <name val="Century Gothic"/>
      <family val="2"/>
    </font>
    <font>
      <b/>
      <sz val="8"/>
      <color theme="0"/>
      <name val="Century Gothic"/>
      <family val="2"/>
    </font>
    <font>
      <sz val="8"/>
      <name val="Arial"/>
      <family val="2"/>
    </font>
    <font>
      <sz val="10"/>
      <color theme="1"/>
      <name val="Century Gothic"/>
      <family val="2"/>
    </font>
    <font>
      <sz val="8"/>
      <color theme="1"/>
      <name val="Century Gothic"/>
      <family val="2"/>
    </font>
    <font>
      <b/>
      <sz val="10"/>
      <color theme="1"/>
      <name val="Century Gothic"/>
      <family val="2"/>
    </font>
    <font>
      <b/>
      <sz val="12"/>
      <color theme="1"/>
      <name val="Century Gothic"/>
      <family val="2"/>
    </font>
    <font>
      <u/>
      <sz val="10"/>
      <color theme="10"/>
      <name val="Century Gothic"/>
      <family val="2"/>
    </font>
    <font>
      <b/>
      <sz val="11"/>
      <color theme="1"/>
      <name val="Century Gothic"/>
      <family val="2"/>
    </font>
    <font>
      <b/>
      <sz val="9"/>
      <color theme="0"/>
      <name val="Century Gothic"/>
      <family val="2"/>
    </font>
    <font>
      <b/>
      <sz val="9"/>
      <color theme="1"/>
      <name val="Century Gothic"/>
      <family val="2"/>
    </font>
    <font>
      <sz val="9"/>
      <color theme="1"/>
      <name val="Century Gothic"/>
      <family val="2"/>
    </font>
    <font>
      <b/>
      <sz val="10"/>
      <color theme="1"/>
      <name val="Arial"/>
      <family val="2"/>
    </font>
    <font>
      <b/>
      <sz val="14"/>
      <color theme="1"/>
      <name val="Century Gothic"/>
      <family val="2"/>
    </font>
    <font>
      <b/>
      <sz val="9"/>
      <name val="Century Gothic"/>
      <family val="2"/>
    </font>
    <font>
      <b/>
      <sz val="8"/>
      <color theme="1"/>
      <name val="Century Gothic"/>
      <family val="2"/>
    </font>
    <font>
      <sz val="10"/>
      <name val="Century Gothic"/>
      <family val="2"/>
    </font>
  </fonts>
  <fills count="14">
    <fill>
      <patternFill patternType="none"/>
    </fill>
    <fill>
      <patternFill patternType="gray125"/>
    </fill>
    <fill>
      <patternFill patternType="solid">
        <fgColor rgb="FF009ADD"/>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28E8E"/>
        <bgColor indexed="64"/>
      </patternFill>
    </fill>
    <fill>
      <patternFill patternType="solid">
        <fgColor theme="7"/>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44">
    <xf numFmtId="0" fontId="0" fillId="0" borderId="0" xfId="0"/>
    <xf numFmtId="0" fontId="3" fillId="0" borderId="0" xfId="0" applyFont="1"/>
    <xf numFmtId="0" fontId="2" fillId="2" borderId="1" xfId="0" applyFont="1" applyFill="1" applyBorder="1" applyAlignment="1">
      <alignment horizontal="center" vertical="center" wrapText="1"/>
    </xf>
    <xf numFmtId="9" fontId="0" fillId="0" borderId="0" xfId="0" applyNumberFormat="1"/>
    <xf numFmtId="0" fontId="0" fillId="0" borderId="0" xfId="0" applyBorder="1"/>
    <xf numFmtId="0" fontId="9" fillId="0" borderId="0" xfId="0" applyFont="1"/>
    <xf numFmtId="11" fontId="0" fillId="0" borderId="0" xfId="0" applyNumberFormat="1"/>
    <xf numFmtId="0" fontId="0" fillId="0" borderId="0" xfId="0" applyFill="1" applyBorder="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9" fillId="0" borderId="6" xfId="0" applyFont="1" applyBorder="1"/>
    <xf numFmtId="0" fontId="9" fillId="0" borderId="0" xfId="0" applyFont="1" applyBorder="1"/>
    <xf numFmtId="14" fontId="9" fillId="0" borderId="0" xfId="0" applyNumberFormat="1" applyFont="1"/>
    <xf numFmtId="0" fontId="9" fillId="0" borderId="14" xfId="0" applyFont="1" applyBorder="1"/>
    <xf numFmtId="0" fontId="9" fillId="0" borderId="15" xfId="0" applyFont="1" applyBorder="1"/>
    <xf numFmtId="3" fontId="9" fillId="0" borderId="15" xfId="0" applyNumberFormat="1" applyFont="1" applyBorder="1"/>
    <xf numFmtId="9" fontId="9" fillId="0" borderId="16" xfId="1" applyNumberFormat="1" applyFont="1" applyBorder="1"/>
    <xf numFmtId="3" fontId="9" fillId="0" borderId="0" xfId="0" applyNumberFormat="1" applyFont="1" applyBorder="1"/>
    <xf numFmtId="9" fontId="9" fillId="0" borderId="0" xfId="1" applyNumberFormat="1" applyFont="1" applyBorder="1"/>
    <xf numFmtId="0" fontId="9" fillId="0" borderId="1" xfId="0" applyFont="1" applyBorder="1"/>
    <xf numFmtId="0" fontId="9" fillId="0" borderId="20" xfId="0" applyFont="1" applyBorder="1"/>
    <xf numFmtId="0" fontId="9" fillId="0" borderId="21" xfId="0" applyFont="1" applyFill="1" applyBorder="1"/>
    <xf numFmtId="0" fontId="9" fillId="0" borderId="16" xfId="0" applyFont="1" applyBorder="1"/>
    <xf numFmtId="9" fontId="9" fillId="0" borderId="1" xfId="1" applyFont="1" applyBorder="1"/>
    <xf numFmtId="9" fontId="9" fillId="0" borderId="14" xfId="1" applyFont="1" applyBorder="1"/>
    <xf numFmtId="9" fontId="9" fillId="0" borderId="15" xfId="1" applyFont="1" applyBorder="1"/>
    <xf numFmtId="9" fontId="9" fillId="0" borderId="0" xfId="1" applyFont="1"/>
    <xf numFmtId="0" fontId="11" fillId="0" borderId="0" xfId="0" applyFont="1" applyProtection="1">
      <protection locked="0"/>
    </xf>
    <xf numFmtId="0" fontId="9" fillId="0" borderId="0" xfId="0" applyFont="1" applyProtection="1">
      <protection locked="0"/>
    </xf>
    <xf numFmtId="0" fontId="15" fillId="5" borderId="0" xfId="0" applyFont="1" applyFill="1" applyBorder="1" applyAlignment="1" applyProtection="1">
      <alignment horizontal="center" vertical="center" wrapText="1"/>
      <protection locked="0"/>
    </xf>
    <xf numFmtId="0" fontId="15" fillId="5" borderId="0" xfId="0" applyFont="1" applyFill="1" applyBorder="1" applyAlignment="1" applyProtection="1">
      <alignment vertical="center" wrapText="1"/>
      <protection locked="0"/>
    </xf>
    <xf numFmtId="0" fontId="15" fillId="5" borderId="7" xfId="0" applyFont="1" applyFill="1" applyBorder="1" applyAlignment="1" applyProtection="1">
      <alignment horizontal="center" vertical="center" wrapText="1"/>
      <protection locked="0"/>
    </xf>
    <xf numFmtId="0" fontId="17" fillId="0" borderId="6" xfId="0" applyFont="1" applyBorder="1" applyProtection="1">
      <protection locked="0"/>
    </xf>
    <xf numFmtId="0" fontId="17" fillId="0" borderId="0" xfId="0" applyFont="1" applyBorder="1" applyProtection="1">
      <protection locked="0"/>
    </xf>
    <xf numFmtId="0" fontId="17" fillId="0" borderId="7" xfId="0" applyFont="1" applyBorder="1" applyProtection="1">
      <protection locked="0"/>
    </xf>
    <xf numFmtId="0" fontId="16" fillId="0" borderId="6" xfId="0" applyFont="1" applyBorder="1" applyProtection="1">
      <protection locked="0"/>
    </xf>
    <xf numFmtId="0" fontId="16" fillId="0" borderId="0" xfId="0" applyFont="1" applyBorder="1" applyAlignment="1" applyProtection="1">
      <protection locked="0"/>
    </xf>
    <xf numFmtId="0" fontId="10" fillId="0" borderId="0" xfId="0" applyFont="1" applyProtection="1">
      <protection locked="0"/>
    </xf>
    <xf numFmtId="0" fontId="16" fillId="0" borderId="0" xfId="0" applyFont="1" applyBorder="1" applyAlignment="1" applyProtection="1">
      <alignment horizontal="right"/>
      <protection locked="0"/>
    </xf>
    <xf numFmtId="0" fontId="16" fillId="0" borderId="0" xfId="0" applyFont="1" applyBorder="1" applyProtection="1">
      <protection locked="0"/>
    </xf>
    <xf numFmtId="0" fontId="16" fillId="0" borderId="0" xfId="0" applyFont="1" applyFill="1" applyBorder="1" applyAlignment="1" applyProtection="1">
      <alignment horizontal="right"/>
      <protection locked="0"/>
    </xf>
    <xf numFmtId="0" fontId="16" fillId="0" borderId="7" xfId="0" applyFont="1" applyFill="1" applyBorder="1" applyAlignment="1" applyProtection="1">
      <alignment horizontal="right"/>
      <protection locked="0"/>
    </xf>
    <xf numFmtId="0" fontId="16" fillId="7" borderId="6" xfId="0" applyFont="1" applyFill="1" applyBorder="1" applyAlignment="1" applyProtection="1">
      <protection locked="0"/>
    </xf>
    <xf numFmtId="0" fontId="16" fillId="7" borderId="0" xfId="0" applyFont="1" applyFill="1" applyBorder="1" applyAlignment="1" applyProtection="1">
      <alignment horizontal="center"/>
      <protection locked="0"/>
    </xf>
    <xf numFmtId="0" fontId="16" fillId="7" borderId="0" xfId="0" applyFont="1" applyFill="1" applyBorder="1" applyProtection="1">
      <protection locked="0"/>
    </xf>
    <xf numFmtId="4" fontId="17" fillId="0" borderId="0" xfId="0" applyNumberFormat="1" applyFont="1" applyBorder="1" applyProtection="1">
      <protection locked="0"/>
    </xf>
    <xf numFmtId="165" fontId="17" fillId="0" borderId="0" xfId="0" applyNumberFormat="1" applyFont="1" applyBorder="1" applyProtection="1">
      <protection locked="0"/>
    </xf>
    <xf numFmtId="4" fontId="16" fillId="0" borderId="0" xfId="0" applyNumberFormat="1" applyFont="1" applyBorder="1" applyProtection="1">
      <protection locked="0"/>
    </xf>
    <xf numFmtId="4" fontId="16" fillId="0" borderId="7" xfId="0" applyNumberFormat="1" applyFont="1" applyBorder="1" applyProtection="1">
      <protection locked="0"/>
    </xf>
    <xf numFmtId="0" fontId="16" fillId="0" borderId="7" xfId="0" applyFont="1" applyBorder="1" applyAlignment="1" applyProtection="1">
      <alignment horizontal="right"/>
      <protection locked="0"/>
    </xf>
    <xf numFmtId="4" fontId="17" fillId="0" borderId="7" xfId="0" applyNumberFormat="1" applyFont="1" applyBorder="1" applyProtection="1">
      <protection locked="0"/>
    </xf>
    <xf numFmtId="0" fontId="16" fillId="0" borderId="6" xfId="0" applyFont="1" applyFill="1" applyBorder="1" applyProtection="1">
      <protection locked="0"/>
    </xf>
    <xf numFmtId="0" fontId="16" fillId="7" borderId="6" xfId="0" applyFont="1" applyFill="1" applyBorder="1" applyProtection="1">
      <protection locked="0"/>
    </xf>
    <xf numFmtId="0" fontId="9" fillId="0" borderId="0" xfId="0" applyFont="1" applyBorder="1" applyProtection="1">
      <protection locked="0"/>
    </xf>
    <xf numFmtId="2" fontId="16" fillId="0" borderId="0" xfId="0" applyNumberFormat="1" applyFont="1" applyBorder="1" applyProtection="1">
      <protection locked="0"/>
    </xf>
    <xf numFmtId="0" fontId="7" fillId="5" borderId="0" xfId="0" applyFont="1" applyFill="1" applyBorder="1" applyAlignment="1" applyProtection="1">
      <alignment vertical="center" wrapText="1"/>
      <protection locked="0"/>
    </xf>
    <xf numFmtId="164" fontId="17" fillId="0" borderId="0" xfId="0" applyNumberFormat="1" applyFont="1" applyBorder="1" applyProtection="1">
      <protection locked="0"/>
    </xf>
    <xf numFmtId="0" fontId="17" fillId="7" borderId="0" xfId="0" applyFont="1" applyFill="1" applyBorder="1" applyProtection="1">
      <protection locked="0"/>
    </xf>
    <xf numFmtId="0" fontId="16" fillId="7" borderId="0" xfId="0" applyFont="1" applyFill="1" applyBorder="1" applyAlignment="1" applyProtection="1">
      <protection locked="0"/>
    </xf>
    <xf numFmtId="0" fontId="17" fillId="0" borderId="0" xfId="0" applyFont="1" applyFill="1" applyBorder="1" applyProtection="1">
      <protection locked="0"/>
    </xf>
    <xf numFmtId="0" fontId="17" fillId="0" borderId="8" xfId="0" applyFont="1" applyBorder="1" applyProtection="1">
      <protection locked="0"/>
    </xf>
    <xf numFmtId="0" fontId="17" fillId="0" borderId="9" xfId="0" applyFont="1" applyBorder="1" applyProtection="1">
      <protection locked="0"/>
    </xf>
    <xf numFmtId="0" fontId="17" fillId="0" borderId="10" xfId="0" applyFont="1" applyBorder="1" applyProtection="1">
      <protection locked="0"/>
    </xf>
    <xf numFmtId="0" fontId="9" fillId="0" borderId="0" xfId="0" applyFont="1" applyFill="1" applyBorder="1" applyProtection="1">
      <protection locked="0"/>
    </xf>
    <xf numFmtId="0" fontId="12" fillId="0" borderId="0" xfId="0" applyFont="1" applyProtection="1">
      <protection locked="0"/>
    </xf>
    <xf numFmtId="0" fontId="13" fillId="0" borderId="0" xfId="2" applyFont="1" applyProtection="1">
      <protection locked="0"/>
    </xf>
    <xf numFmtId="0" fontId="18" fillId="0" borderId="0" xfId="0" applyFont="1"/>
    <xf numFmtId="0" fontId="11" fillId="0" borderId="0" xfId="0" applyFont="1"/>
    <xf numFmtId="0" fontId="14" fillId="0" borderId="0" xfId="0" applyFont="1" applyProtection="1">
      <protection locked="0"/>
    </xf>
    <xf numFmtId="0" fontId="9" fillId="0" borderId="0" xfId="0" applyFont="1" applyAlignment="1">
      <alignment wrapText="1"/>
    </xf>
    <xf numFmtId="167" fontId="9" fillId="0" borderId="0" xfId="0" applyNumberFormat="1" applyFont="1" applyProtection="1">
      <protection locked="0"/>
    </xf>
    <xf numFmtId="0" fontId="9" fillId="0" borderId="6" xfId="0" applyFont="1" applyBorder="1" applyProtection="1">
      <protection locked="0"/>
    </xf>
    <xf numFmtId="11" fontId="9" fillId="0" borderId="0" xfId="0" applyNumberFormat="1" applyFont="1" applyBorder="1" applyProtection="1">
      <protection locked="0"/>
    </xf>
    <xf numFmtId="0" fontId="9" fillId="0" borderId="9" xfId="0" applyFont="1" applyBorder="1" applyProtection="1">
      <protection locked="0"/>
    </xf>
    <xf numFmtId="0" fontId="9" fillId="0" borderId="9" xfId="0" applyFont="1" applyFill="1" applyBorder="1" applyProtection="1">
      <protection locked="0"/>
    </xf>
    <xf numFmtId="0" fontId="2" fillId="2" borderId="12" xfId="0" applyFont="1" applyFill="1" applyBorder="1" applyAlignment="1">
      <alignment horizontal="center" vertical="center" wrapText="1"/>
    </xf>
    <xf numFmtId="168" fontId="9" fillId="0" borderId="0" xfId="0" applyNumberFormat="1" applyFont="1" applyBorder="1" applyProtection="1">
      <protection locked="0"/>
    </xf>
    <xf numFmtId="168" fontId="9" fillId="0" borderId="9" xfId="0" applyNumberFormat="1" applyFont="1" applyBorder="1" applyProtection="1">
      <protection locked="0"/>
    </xf>
    <xf numFmtId="168" fontId="9" fillId="0" borderId="7" xfId="0" applyNumberFormat="1" applyFont="1" applyBorder="1" applyProtection="1">
      <protection locked="0"/>
    </xf>
    <xf numFmtId="168" fontId="9" fillId="0" borderId="10" xfId="0" applyNumberFormat="1" applyFont="1" applyBorder="1" applyProtection="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0" borderId="1" xfId="0" applyFont="1" applyBorder="1" applyAlignment="1">
      <alignment horizontal="center"/>
    </xf>
    <xf numFmtId="0" fontId="9" fillId="0" borderId="3" xfId="0" applyFont="1" applyBorder="1"/>
    <xf numFmtId="0" fontId="9" fillId="0" borderId="4" xfId="0" applyFont="1" applyBorder="1"/>
    <xf numFmtId="0" fontId="9" fillId="0" borderId="0" xfId="0" applyFont="1" applyAlignment="1" applyProtection="1">
      <alignment vertical="center" wrapText="1"/>
      <protection locked="0"/>
    </xf>
    <xf numFmtId="0" fontId="9" fillId="0" borderId="25" xfId="0" applyFont="1" applyBorder="1"/>
    <xf numFmtId="0" fontId="9" fillId="0" borderId="28" xfId="0" applyFont="1" applyBorder="1"/>
    <xf numFmtId="0" fontId="9" fillId="0" borderId="29" xfId="0" applyFont="1" applyBorder="1"/>
    <xf numFmtId="0" fontId="11" fillId="0" borderId="6" xfId="0" applyFont="1" applyBorder="1" applyProtection="1">
      <protection locked="0"/>
    </xf>
    <xf numFmtId="0" fontId="11" fillId="0" borderId="8" xfId="0" applyFont="1" applyBorder="1" applyProtection="1">
      <protection locked="0"/>
    </xf>
    <xf numFmtId="0" fontId="11" fillId="0" borderId="0" xfId="0" applyFont="1" applyFill="1" applyBorder="1" applyProtection="1">
      <protection locked="0"/>
    </xf>
    <xf numFmtId="0" fontId="11" fillId="0" borderId="0" xfId="0" applyFont="1" applyBorder="1" applyProtection="1">
      <protection locked="0"/>
    </xf>
    <xf numFmtId="0" fontId="11" fillId="0" borderId="9" xfId="0" applyFont="1" applyBorder="1" applyProtection="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7" borderId="7" xfId="0" applyFont="1" applyFill="1" applyBorder="1" applyAlignment="1" applyProtection="1">
      <alignment horizontal="center"/>
      <protection locked="0"/>
    </xf>
    <xf numFmtId="0" fontId="9" fillId="0" borderId="0" xfId="0" applyFont="1" applyAlignment="1">
      <alignment horizontal="center"/>
    </xf>
    <xf numFmtId="0" fontId="9" fillId="0" borderId="2" xfId="0" applyFont="1" applyBorder="1" applyAlignment="1">
      <alignment horizontal="center"/>
    </xf>
    <xf numFmtId="9" fontId="9" fillId="0" borderId="2" xfId="0" applyNumberFormat="1" applyFont="1" applyBorder="1" applyAlignment="1">
      <alignment horizont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4" fontId="9" fillId="0" borderId="2" xfId="0" applyNumberFormat="1" applyFont="1" applyBorder="1" applyAlignment="1">
      <alignment horizontal="center"/>
    </xf>
    <xf numFmtId="10" fontId="9" fillId="0" borderId="1" xfId="0" applyNumberFormat="1" applyFont="1" applyBorder="1" applyAlignment="1">
      <alignment horizontal="center"/>
    </xf>
    <xf numFmtId="0" fontId="18" fillId="0" borderId="0" xfId="0" applyFont="1" applyAlignment="1">
      <alignment vertical="center"/>
    </xf>
    <xf numFmtId="0" fontId="11" fillId="0" borderId="0" xfId="0" applyFont="1" applyAlignment="1">
      <alignment vertical="center"/>
    </xf>
    <xf numFmtId="4" fontId="9" fillId="0" borderId="1" xfId="0" applyNumberFormat="1" applyFont="1" applyBorder="1" applyAlignment="1">
      <alignment horizontal="center"/>
    </xf>
    <xf numFmtId="4" fontId="16" fillId="8" borderId="0" xfId="0" applyNumberFormat="1" applyFont="1" applyFill="1" applyBorder="1" applyProtection="1">
      <protection locked="0"/>
    </xf>
    <xf numFmtId="0" fontId="16" fillId="8" borderId="0" xfId="0" applyFont="1" applyFill="1" applyBorder="1" applyProtection="1">
      <protection locked="0"/>
    </xf>
    <xf numFmtId="166" fontId="16" fillId="8" borderId="0" xfId="0" applyNumberFormat="1" applyFont="1" applyFill="1" applyBorder="1" applyProtection="1">
      <protection locked="0"/>
    </xf>
    <xf numFmtId="0" fontId="16" fillId="8" borderId="0" xfId="0" applyFont="1" applyFill="1" applyBorder="1" applyAlignment="1" applyProtection="1">
      <alignment vertical="center" wrapText="1"/>
      <protection locked="0"/>
    </xf>
    <xf numFmtId="2" fontId="16" fillId="8" borderId="7" xfId="0" applyNumberFormat="1" applyFont="1" applyFill="1" applyBorder="1" applyAlignment="1" applyProtection="1">
      <protection locked="0"/>
    </xf>
    <xf numFmtId="0" fontId="16" fillId="8" borderId="7" xfId="0" applyFont="1" applyFill="1" applyBorder="1" applyAlignment="1" applyProtection="1">
      <protection locked="0"/>
    </xf>
    <xf numFmtId="164" fontId="16" fillId="8" borderId="0" xfId="0" applyNumberFormat="1" applyFont="1" applyFill="1" applyBorder="1" applyProtection="1">
      <protection locked="0"/>
    </xf>
    <xf numFmtId="0" fontId="11" fillId="0" borderId="8" xfId="0" applyFont="1" applyFill="1" applyBorder="1" applyProtection="1">
      <protection locked="0"/>
    </xf>
    <xf numFmtId="4" fontId="11" fillId="0" borderId="9" xfId="0" applyNumberFormat="1" applyFont="1" applyBorder="1" applyProtection="1"/>
    <xf numFmtId="164" fontId="11" fillId="0" borderId="9" xfId="0" applyNumberFormat="1" applyFont="1" applyBorder="1" applyProtection="1"/>
    <xf numFmtId="164" fontId="11" fillId="0" borderId="9" xfId="0" applyNumberFormat="1" applyFont="1" applyBorder="1" applyProtection="1">
      <protection locked="0"/>
    </xf>
    <xf numFmtId="4" fontId="11" fillId="0" borderId="9" xfId="0" applyNumberFormat="1" applyFont="1" applyBorder="1" applyProtection="1">
      <protection locked="0"/>
    </xf>
    <xf numFmtId="4" fontId="11" fillId="0" borderId="10" xfId="0" applyNumberFormat="1" applyFont="1" applyBorder="1" applyProtection="1">
      <protection locked="0"/>
    </xf>
    <xf numFmtId="165" fontId="11" fillId="0" borderId="9" xfId="0" applyNumberFormat="1" applyFont="1" applyBorder="1" applyProtection="1">
      <protection locked="0"/>
    </xf>
    <xf numFmtId="0" fontId="20" fillId="8" borderId="0" xfId="0" applyFont="1" applyFill="1" applyBorder="1" applyAlignment="1" applyProtection="1">
      <alignment horizontal="center" vertical="center" wrapText="1"/>
      <protection locked="0"/>
    </xf>
    <xf numFmtId="0" fontId="21" fillId="0" borderId="0" xfId="0" applyFont="1" applyProtection="1">
      <protection locked="0"/>
    </xf>
    <xf numFmtId="3" fontId="9" fillId="0" borderId="16" xfId="1" applyNumberFormat="1" applyFont="1" applyBorder="1" applyAlignment="1">
      <alignment horizontal="center"/>
    </xf>
    <xf numFmtId="0" fontId="9" fillId="0" borderId="16"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9" fontId="9" fillId="0" borderId="1" xfId="1" applyFont="1" applyBorder="1" applyAlignment="1">
      <alignment horizontal="center"/>
    </xf>
    <xf numFmtId="0" fontId="9" fillId="0" borderId="2" xfId="0" applyFont="1" applyBorder="1" applyAlignment="1">
      <alignment horizontal="left"/>
    </xf>
    <xf numFmtId="169" fontId="9" fillId="0" borderId="0" xfId="0" applyNumberFormat="1" applyFont="1" applyBorder="1" applyProtection="1">
      <protection locked="0"/>
    </xf>
    <xf numFmtId="169" fontId="9" fillId="0" borderId="9" xfId="0" applyNumberFormat="1" applyFont="1" applyBorder="1" applyProtection="1">
      <protection locked="0"/>
    </xf>
    <xf numFmtId="165" fontId="9" fillId="0" borderId="0" xfId="0" applyNumberFormat="1" applyFont="1" applyBorder="1" applyProtection="1">
      <protection locked="0"/>
    </xf>
    <xf numFmtId="165" fontId="9" fillId="0" borderId="9" xfId="0" applyNumberFormat="1" applyFont="1" applyBorder="1" applyProtection="1">
      <protection locked="0"/>
    </xf>
    <xf numFmtId="11" fontId="9" fillId="0" borderId="7" xfId="0" applyNumberFormat="1" applyFont="1" applyFill="1" applyBorder="1" applyProtection="1">
      <protection locked="0"/>
    </xf>
    <xf numFmtId="11" fontId="9" fillId="0" borderId="7" xfId="0" applyNumberFormat="1" applyFont="1" applyBorder="1" applyProtection="1">
      <protection locked="0"/>
    </xf>
    <xf numFmtId="0" fontId="17" fillId="0" borderId="0" xfId="0" applyFont="1" applyBorder="1" applyAlignment="1" applyProtection="1">
      <alignment horizontal="center"/>
      <protection locked="0"/>
    </xf>
    <xf numFmtId="0" fontId="17" fillId="0" borderId="7" xfId="0" applyFont="1" applyBorder="1" applyAlignment="1" applyProtection="1">
      <alignment horizontal="center"/>
      <protection locked="0"/>
    </xf>
    <xf numFmtId="3" fontId="17" fillId="0" borderId="7" xfId="0" applyNumberFormat="1" applyFont="1" applyBorder="1" applyProtection="1">
      <protection locked="0"/>
    </xf>
    <xf numFmtId="0" fontId="2" fillId="2" borderId="25" xfId="0" applyFont="1" applyFill="1" applyBorder="1" applyAlignment="1">
      <alignment horizontal="center" vertical="center" wrapText="1"/>
    </xf>
    <xf numFmtId="9" fontId="9" fillId="0" borderId="25" xfId="1" applyFont="1" applyBorder="1"/>
    <xf numFmtId="9" fontId="9" fillId="0" borderId="41" xfId="1" applyFont="1" applyBorder="1"/>
    <xf numFmtId="0" fontId="9" fillId="0" borderId="0" xfId="0" applyFont="1" applyBorder="1" applyAlignment="1">
      <alignment horizontal="center" wrapText="1"/>
    </xf>
    <xf numFmtId="0" fontId="2" fillId="10" borderId="0" xfId="0" applyFont="1" applyFill="1"/>
    <xf numFmtId="0" fontId="2" fillId="10" borderId="0" xfId="0" applyFont="1" applyFill="1" applyAlignment="1">
      <alignment horizontal="right"/>
    </xf>
    <xf numFmtId="0" fontId="2" fillId="11" borderId="0" xfId="0" applyFont="1" applyFill="1" applyAlignment="1">
      <alignment horizontal="right"/>
    </xf>
    <xf numFmtId="0" fontId="2" fillId="11" borderId="0" xfId="0" applyFont="1" applyFill="1"/>
    <xf numFmtId="0" fontId="11" fillId="0" borderId="0" xfId="0" applyFont="1" applyAlignment="1" applyProtection="1">
      <alignment vertical="center" wrapText="1"/>
      <protection locked="0"/>
    </xf>
    <xf numFmtId="0" fontId="9" fillId="12" borderId="0" xfId="0" applyFont="1" applyFill="1" applyAlignment="1">
      <alignment horizontal="left"/>
    </xf>
    <xf numFmtId="0" fontId="16" fillId="7" borderId="0" xfId="0" applyFont="1" applyFill="1" applyBorder="1" applyAlignment="1" applyProtection="1">
      <alignment horizontal="center"/>
      <protection locked="0"/>
    </xf>
    <xf numFmtId="0" fontId="16" fillId="7" borderId="7" xfId="0" applyFont="1" applyFill="1" applyBorder="1" applyAlignment="1" applyProtection="1">
      <alignment horizontal="center"/>
      <protection locked="0"/>
    </xf>
    <xf numFmtId="0" fontId="9" fillId="0" borderId="43" xfId="0" applyFont="1" applyBorder="1" applyAlignment="1">
      <alignment horizontal="center"/>
    </xf>
    <xf numFmtId="0" fontId="16" fillId="8" borderId="0" xfId="0" applyFont="1" applyFill="1" applyBorder="1" applyAlignment="1" applyProtection="1">
      <alignment wrapText="1"/>
      <protection locked="0"/>
    </xf>
    <xf numFmtId="0" fontId="9" fillId="0" borderId="0" xfId="0" applyFont="1" applyFill="1"/>
    <xf numFmtId="0" fontId="2" fillId="9" borderId="0" xfId="0" applyFont="1" applyFill="1" applyAlignment="1"/>
    <xf numFmtId="0" fontId="11" fillId="0" borderId="0" xfId="0" applyFont="1" applyFill="1"/>
    <xf numFmtId="0" fontId="9" fillId="0" borderId="0" xfId="0" applyFont="1" applyFill="1" applyAlignment="1">
      <alignment wrapText="1"/>
    </xf>
    <xf numFmtId="0" fontId="3" fillId="13" borderId="0" xfId="0" applyFont="1" applyFill="1"/>
    <xf numFmtId="0" fontId="9" fillId="0" borderId="0" xfId="0" applyFont="1" applyFill="1" applyProtection="1">
      <protection locked="0"/>
    </xf>
    <xf numFmtId="0" fontId="9" fillId="0" borderId="0" xfId="0" applyFont="1" applyAlignment="1" applyProtection="1">
      <alignment wrapText="1"/>
      <protection locked="0"/>
    </xf>
    <xf numFmtId="0" fontId="17" fillId="0" borderId="6" xfId="0" applyFont="1" applyBorder="1" applyAlignment="1" applyProtection="1">
      <alignment wrapText="1"/>
      <protection locked="0"/>
    </xf>
    <xf numFmtId="0" fontId="11" fillId="0" borderId="8" xfId="0" applyFont="1" applyFill="1" applyBorder="1" applyAlignment="1" applyProtection="1">
      <alignment wrapText="1"/>
      <protection locked="0"/>
    </xf>
    <xf numFmtId="0" fontId="3" fillId="13" borderId="0" xfId="0" applyFont="1" applyFill="1" applyAlignment="1">
      <alignment wrapText="1"/>
    </xf>
    <xf numFmtId="0" fontId="9" fillId="0" borderId="9" xfId="0" applyFont="1" applyBorder="1"/>
    <xf numFmtId="0" fontId="2" fillId="10" borderId="0" xfId="0" applyFont="1" applyFill="1" applyAlignment="1">
      <alignment horizontal="left" wrapText="1"/>
    </xf>
    <xf numFmtId="0" fontId="2" fillId="9" borderId="0" xfId="0" applyFont="1" applyFill="1" applyAlignment="1">
      <alignment horizontal="center"/>
    </xf>
    <xf numFmtId="0" fontId="9" fillId="12" borderId="0" xfId="0" applyFont="1" applyFill="1" applyAlignment="1">
      <alignment horizontal="left"/>
    </xf>
    <xf numFmtId="0" fontId="9" fillId="12" borderId="0" xfId="0" applyFont="1" applyFill="1" applyAlignment="1">
      <alignment horizontal="left" wrapText="1"/>
    </xf>
    <xf numFmtId="0" fontId="22" fillId="12" borderId="0" xfId="0" applyFont="1" applyFill="1" applyAlignment="1">
      <alignment horizontal="left" wrapText="1"/>
    </xf>
    <xf numFmtId="0" fontId="11" fillId="11" borderId="0" xfId="0" applyFont="1" applyFill="1" applyAlignment="1">
      <alignment horizont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14" fillId="3" borderId="22" xfId="0" applyFont="1" applyFill="1" applyBorder="1" applyAlignment="1">
      <alignment horizontal="center"/>
    </xf>
    <xf numFmtId="0" fontId="14" fillId="3" borderId="23" xfId="0" applyFont="1" applyFill="1" applyBorder="1" applyAlignment="1">
      <alignment horizontal="center"/>
    </xf>
    <xf numFmtId="0" fontId="14" fillId="3" borderId="24" xfId="0" applyFont="1" applyFill="1" applyBorder="1" applyAlignment="1">
      <alignment horizontal="center"/>
    </xf>
    <xf numFmtId="0" fontId="9" fillId="0" borderId="30" xfId="0" applyFont="1" applyBorder="1" applyAlignment="1">
      <alignment horizontal="center" wrapText="1"/>
    </xf>
    <xf numFmtId="0" fontId="9" fillId="0" borderId="32" xfId="0" applyFont="1" applyBorder="1" applyAlignment="1">
      <alignment horizontal="center" wrapText="1"/>
    </xf>
    <xf numFmtId="0" fontId="9" fillId="0" borderId="33" xfId="0" applyFont="1" applyBorder="1" applyAlignment="1">
      <alignment horizontal="center" wrapText="1"/>
    </xf>
    <xf numFmtId="0" fontId="9" fillId="0" borderId="34" xfId="0" applyFont="1" applyBorder="1" applyAlignment="1">
      <alignment horizontal="center" wrapText="1"/>
    </xf>
    <xf numFmtId="4" fontId="9" fillId="0" borderId="28" xfId="0" applyNumberFormat="1" applyFont="1" applyBorder="1" applyAlignment="1">
      <alignment horizontal="center" vertical="center"/>
    </xf>
    <xf numFmtId="4" fontId="9" fillId="0" borderId="31" xfId="0" applyNumberFormat="1" applyFont="1" applyBorder="1" applyAlignment="1">
      <alignment horizontal="center" vertical="center"/>
    </xf>
    <xf numFmtId="4" fontId="9" fillId="0" borderId="2" xfId="0" applyNumberFormat="1" applyFont="1" applyBorder="1" applyAlignment="1">
      <alignment horizontal="center" vertical="center"/>
    </xf>
    <xf numFmtId="4" fontId="9" fillId="0" borderId="35" xfId="0" applyNumberFormat="1" applyFont="1" applyBorder="1" applyAlignment="1">
      <alignment horizontal="center" vertical="center"/>
    </xf>
    <xf numFmtId="9" fontId="9" fillId="0" borderId="28" xfId="1" applyFont="1" applyBorder="1" applyAlignment="1">
      <alignment horizontal="center" vertical="center"/>
    </xf>
    <xf numFmtId="9" fontId="9" fillId="0" borderId="31" xfId="1" applyFont="1" applyBorder="1" applyAlignment="1">
      <alignment horizontal="center" vertical="center"/>
    </xf>
    <xf numFmtId="9" fontId="9" fillId="0" borderId="2" xfId="1" applyFont="1" applyBorder="1" applyAlignment="1">
      <alignment horizontal="center" vertical="center"/>
    </xf>
    <xf numFmtId="4" fontId="9" fillId="0" borderId="1"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9" fillId="0" borderId="41" xfId="0" applyFont="1" applyBorder="1" applyAlignment="1">
      <alignment horizontal="center"/>
    </xf>
    <xf numFmtId="0" fontId="9" fillId="0" borderId="45"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3" fillId="0" borderId="4" xfId="2" applyFont="1" applyBorder="1" applyAlignment="1">
      <alignment horizontal="center"/>
    </xf>
    <xf numFmtId="0" fontId="13" fillId="0" borderId="5" xfId="2" applyFont="1" applyBorder="1" applyAlignment="1">
      <alignment horizontal="center"/>
    </xf>
    <xf numFmtId="0" fontId="4" fillId="0" borderId="0" xfId="2" applyBorder="1" applyAlignment="1">
      <alignment horizontal="center"/>
    </xf>
    <xf numFmtId="0" fontId="13" fillId="0" borderId="0" xfId="2" applyFont="1" applyBorder="1" applyAlignment="1">
      <alignment horizontal="center"/>
    </xf>
    <xf numFmtId="0" fontId="13" fillId="0" borderId="7" xfId="2"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xf>
    <xf numFmtId="0" fontId="2" fillId="2" borderId="1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9" fillId="0" borderId="1" xfId="0" applyNumberFormat="1" applyFont="1" applyBorder="1" applyAlignment="1">
      <alignment horizontal="center" vertical="center"/>
    </xf>
    <xf numFmtId="9" fontId="9" fillId="0" borderId="15" xfId="0" applyNumberFormat="1" applyFont="1" applyBorder="1" applyAlignment="1">
      <alignment horizontal="center" vertical="center"/>
    </xf>
    <xf numFmtId="4" fontId="9" fillId="0" borderId="15" xfId="0" applyNumberFormat="1" applyFont="1" applyBorder="1" applyAlignment="1">
      <alignment horizontal="right" vertical="center"/>
    </xf>
    <xf numFmtId="0" fontId="6" fillId="4" borderId="1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9" fillId="0" borderId="43" xfId="0" applyFont="1" applyBorder="1" applyAlignment="1">
      <alignment horizontal="center"/>
    </xf>
    <xf numFmtId="0" fontId="9" fillId="0" borderId="44" xfId="0" applyFont="1" applyBorder="1" applyAlignment="1">
      <alignment horizontal="center"/>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16" fillId="6" borderId="6" xfId="0" applyFont="1" applyFill="1" applyBorder="1" applyAlignment="1" applyProtection="1">
      <alignment horizontal="left"/>
      <protection locked="0"/>
    </xf>
    <xf numFmtId="0" fontId="16" fillId="6" borderId="0" xfId="0" applyFont="1" applyFill="1" applyBorder="1" applyAlignment="1" applyProtection="1">
      <alignment horizontal="left"/>
      <protection locked="0"/>
    </xf>
    <xf numFmtId="0" fontId="15" fillId="5" borderId="6"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protection locked="0"/>
    </xf>
    <xf numFmtId="0" fontId="16" fillId="7" borderId="7" xfId="0" applyFont="1" applyFill="1" applyBorder="1" applyAlignment="1" applyProtection="1">
      <alignment horizontal="center"/>
      <protection locked="0"/>
    </xf>
    <xf numFmtId="0" fontId="17" fillId="7" borderId="6" xfId="0" applyFont="1" applyFill="1" applyBorder="1" applyAlignment="1" applyProtection="1">
      <alignment horizontal="left" vertical="center" wrapText="1"/>
      <protection locked="0"/>
    </xf>
    <xf numFmtId="0" fontId="19" fillId="8" borderId="0" xfId="0" applyFont="1" applyFill="1" applyBorder="1" applyAlignment="1" applyProtection="1">
      <alignment horizontal="center" vertical="center"/>
      <protection locked="0"/>
    </xf>
    <xf numFmtId="0" fontId="17" fillId="7" borderId="0" xfId="0" applyFont="1" applyFill="1" applyBorder="1" applyAlignment="1" applyProtection="1">
      <alignment horizontal="left" vertical="center" wrapText="1"/>
      <protection locked="0"/>
    </xf>
    <xf numFmtId="4" fontId="19" fillId="8" borderId="7" xfId="0" applyNumberFormat="1" applyFont="1" applyFill="1" applyBorder="1" applyAlignment="1" applyProtection="1">
      <alignment horizontal="center" vertical="center"/>
      <protection locked="0"/>
    </xf>
    <xf numFmtId="0" fontId="18" fillId="0" borderId="0" xfId="0" applyFont="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928E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78</xdr:row>
          <xdr:rowOff>88900</xdr:rowOff>
        </xdr:from>
        <xdr:to>
          <xdr:col>3</xdr:col>
          <xdr:colOff>69850</xdr:colOff>
          <xdr:row>84</xdr:row>
          <xdr:rowOff>146050</xdr:rowOff>
        </xdr:to>
        <xdr:sp macro="" textlink="">
          <xdr:nvSpPr>
            <xdr:cNvPr id="3083" name="Object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91</xdr:row>
          <xdr:rowOff>57150</xdr:rowOff>
        </xdr:from>
        <xdr:to>
          <xdr:col>2</xdr:col>
          <xdr:colOff>933450</xdr:colOff>
          <xdr:row>96</xdr:row>
          <xdr:rowOff>57150</xdr:rowOff>
        </xdr:to>
        <xdr:sp macro="" textlink="">
          <xdr:nvSpPr>
            <xdr:cNvPr id="3085" name="Object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13</xdr:col>
      <xdr:colOff>11206</xdr:colOff>
      <xdr:row>66</xdr:row>
      <xdr:rowOff>56030</xdr:rowOff>
    </xdr:from>
    <xdr:to>
      <xdr:col>20</xdr:col>
      <xdr:colOff>1916642</xdr:colOff>
      <xdr:row>88</xdr:row>
      <xdr:rowOff>44918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8841441" y="9625854"/>
          <a:ext cx="7801376" cy="3514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Luz Mercedes Vazquez" id="{4AEAA96F-1265-4B88-B459-E5D06DDC2B91}" userId="S::Luz.Vazquez2@flex.com::6ea7ea99-e24a-4248-bf10-dcfb951ac9c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2-09-23T16:06:38.43" personId="{4AEAA96F-1265-4B88-B459-E5D06DDC2B91}" id="{C2CA39CB-E87C-4B1A-9B9B-01BDC5558DF8}">
    <text>Please review renewable energies applicable in Definitions Tab</text>
  </threadedComment>
  <threadedComment ref="B16" dT="2022-09-22T13:33:40.53" personId="{4AEAA96F-1265-4B88-B459-E5D06DDC2B91}" id="{4D8FAEDE-38D4-4BC4-B69D-FA65C6C006FC}">
    <text>You can use Energy conversions tab for stating energy in MWh</text>
  </threadedComment>
  <threadedComment ref="C16" dT="2022-09-22T13:34:00.75" personId="{4AEAA96F-1265-4B88-B459-E5D06DDC2B91}" id="{5DB5E393-D578-4BC3-B19B-EEAF72705853}">
    <text>You can use Energy Conversions Tab for stating energy in MWh</text>
  </threadedComment>
  <threadedComment ref="F17" dT="2022-09-22T17:22:22.28" personId="{4AEAA96F-1265-4B88-B459-E5D06DDC2B91}" id="{3057457F-400E-4758-A0A2-EB50594666DA}">
    <text>For each energy carrier in which you purchase renewable energy, this must add 100%</text>
  </threadedComment>
  <threadedComment ref="H17" dT="2022-09-22T17:22:55.21" personId="{4AEAA96F-1265-4B88-B459-E5D06DDC2B91}" id="{4B5DC24D-05DB-4641-8728-2328F2AB9BAA}">
    <text>Find all EACs applicable in Definitions Tab</text>
  </threadedComment>
  <threadedComment ref="A27" dT="2022-09-20T15:43:35.62" personId="{4AEAA96F-1265-4B88-B459-E5D06DDC2B91}" id="{D25C7D3E-2174-4BA0-AF41-63A3A4F22208}">
    <text>For electricity purposes/用于电力目的</text>
  </threadedComment>
  <threadedComment ref="A44" dT="2022-09-20T15:43:51.58" personId="{4AEAA96F-1265-4B88-B459-E5D06DDC2B91}" id="{19DB053D-9610-4D71-BB14-F3F85F32325E}">
    <text>Include fuel transportation and manufacturing purposes/包括燃料运输和制造目的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aa@abc.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4.bin"/><Relationship Id="rId7" Type="http://schemas.openxmlformats.org/officeDocument/2006/relationships/image" Target="../media/image1.emf"/><Relationship Id="rId2" Type="http://schemas.openxmlformats.org/officeDocument/2006/relationships/hyperlink" Target="https://www.onlineconversion.com/energy.htm" TargetMode="External"/><Relationship Id="rId1" Type="http://schemas.openxmlformats.org/officeDocument/2006/relationships/hyperlink" Target="https://www.iea.org/reports/glossary-of-energy-units"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1.xml"/><Relationship Id="rId9" Type="http://schemas.openxmlformats.org/officeDocument/2006/relationships/image" Target="../media/image2.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7C0D-76ED-4F8F-BB5C-3A6A5FE3EE4C}">
  <sheetPr codeName="Sheet6">
    <pageSetUpPr autoPageBreaks="0"/>
  </sheetPr>
  <dimension ref="A1:L47"/>
  <sheetViews>
    <sheetView zoomScaleNormal="100" zoomScaleSheetLayoutView="100" workbookViewId="0">
      <selection activeCell="L2" sqref="L2"/>
    </sheetView>
  </sheetViews>
  <sheetFormatPr defaultColWidth="8.7265625" defaultRowHeight="12.5" x14ac:dyDescent="0.25"/>
  <cols>
    <col min="1" max="1" width="4.1796875" style="5" customWidth="1"/>
    <col min="2" max="2" width="1.1796875" style="5" customWidth="1"/>
    <col min="3" max="16384" width="8.7265625" style="5"/>
  </cols>
  <sheetData>
    <row r="1" spans="1:12" x14ac:dyDescent="0.25">
      <c r="A1" s="169" t="str">
        <f>IF(L2="ENGLISH","General instructions",IF(L2="CHINESE","总体说明"))</f>
        <v>General instructions</v>
      </c>
      <c r="B1" s="169"/>
      <c r="C1" s="169"/>
      <c r="D1" s="169"/>
      <c r="E1" s="169"/>
      <c r="F1" s="169"/>
      <c r="G1" s="169"/>
      <c r="H1" s="169"/>
      <c r="I1" s="169"/>
      <c r="J1" s="169"/>
      <c r="K1" s="169"/>
      <c r="L1" s="169"/>
    </row>
    <row r="2" spans="1:12" x14ac:dyDescent="0.25">
      <c r="A2" s="169" t="s">
        <v>117</v>
      </c>
      <c r="B2" s="169"/>
      <c r="C2" s="169"/>
      <c r="D2" s="169"/>
      <c r="E2" s="169"/>
      <c r="F2" s="169"/>
      <c r="G2" s="169"/>
      <c r="H2" s="169"/>
      <c r="I2" s="169"/>
      <c r="J2" s="169"/>
      <c r="K2" s="169"/>
      <c r="L2" s="158" t="s">
        <v>118</v>
      </c>
    </row>
    <row r="3" spans="1:12" x14ac:dyDescent="0.25">
      <c r="A3" s="173" t="str">
        <f>IF(L2="ENGLISH","In order to use this spreadsheet, read and follow the instructions here described",IF(L2="CHINESE","要使用此电子表格，请阅读并遵循此处描述的说明。"))</f>
        <v>In order to use this spreadsheet, read and follow the instructions here described</v>
      </c>
      <c r="B3" s="173"/>
      <c r="C3" s="173"/>
      <c r="D3" s="173"/>
      <c r="E3" s="173"/>
      <c r="F3" s="173"/>
      <c r="G3" s="173"/>
      <c r="H3" s="173"/>
      <c r="I3" s="173"/>
      <c r="J3" s="173"/>
      <c r="K3" s="173"/>
      <c r="L3" s="173"/>
    </row>
    <row r="4" spans="1:12" x14ac:dyDescent="0.25">
      <c r="A4" s="148">
        <v>1</v>
      </c>
      <c r="B4" s="147" t="s">
        <v>113</v>
      </c>
      <c r="C4" s="172" t="str">
        <f>IF(L2="ENGLISH","Energy consumption must be filled considering your global operations",IF(L2="CHINESE","考虑到您的全球运营，必须满足能源消耗"))</f>
        <v>Energy consumption must be filled considering your global operations</v>
      </c>
      <c r="D4" s="172"/>
      <c r="E4" s="172"/>
      <c r="F4" s="172"/>
      <c r="G4" s="172"/>
      <c r="H4" s="172"/>
      <c r="I4" s="172"/>
      <c r="J4" s="172"/>
      <c r="K4" s="172"/>
      <c r="L4" s="172"/>
    </row>
    <row r="5" spans="1:12" ht="25.5" customHeight="1" x14ac:dyDescent="0.25">
      <c r="A5" s="149">
        <v>2</v>
      </c>
      <c r="B5" s="150" t="s">
        <v>113</v>
      </c>
      <c r="C5" s="171" t="str">
        <f>IF(L2="ENGLISH","Questions with data validation must be answered with any of the options provided, in the case of being other, select other and describe your answer in next column/line",IF(L2="CHINESE","数据验证问题必须使用提供的选项来回答，如果是其他选项，请选择“其他”选项并在下一列/行中描述您的答案"))</f>
        <v>Questions with data validation must be answered with any of the options provided, in the case of being other, select other and describe your answer in next column/line</v>
      </c>
      <c r="D5" s="171"/>
      <c r="E5" s="171"/>
      <c r="F5" s="171"/>
      <c r="G5" s="171"/>
      <c r="H5" s="171"/>
      <c r="I5" s="171"/>
      <c r="J5" s="171"/>
      <c r="K5" s="171"/>
      <c r="L5" s="171"/>
    </row>
    <row r="6" spans="1:12" x14ac:dyDescent="0.25">
      <c r="A6" s="148">
        <v>3</v>
      </c>
      <c r="B6" s="147" t="s">
        <v>113</v>
      </c>
      <c r="C6" s="170" t="str">
        <f>IF(L2="ENGLISH","Find technical definitions, acronyms, and explanations on Definitions Tab.",IF(L2="CHINESE","在定义页查找技术定义、首字母缩略词和解释。"))</f>
        <v>Find technical definitions, acronyms, and explanations on Definitions Tab.</v>
      </c>
      <c r="D6" s="170"/>
      <c r="E6" s="170"/>
      <c r="F6" s="170"/>
      <c r="G6" s="170"/>
      <c r="H6" s="170"/>
      <c r="I6" s="170"/>
      <c r="J6" s="170"/>
      <c r="K6" s="170"/>
      <c r="L6" s="170"/>
    </row>
    <row r="7" spans="1:12" ht="26.15" customHeight="1" x14ac:dyDescent="0.25">
      <c r="A7" s="149">
        <v>4</v>
      </c>
      <c r="B7" s="150" t="s">
        <v>113</v>
      </c>
      <c r="C7" s="171" t="str">
        <f>IF(L2="ENGLISH","Find definitions of procurement methods, attribute certificate and applicable energy markets on Definitions Tab.",IF(L2="CHINESE","在定义页查找采购方法、属性证书和适用能源市场的定义。"))</f>
        <v>Find definitions of procurement methods, attribute certificate and applicable energy markets on Definitions Tab.</v>
      </c>
      <c r="D7" s="171"/>
      <c r="E7" s="171"/>
      <c r="F7" s="171"/>
      <c r="G7" s="171"/>
      <c r="H7" s="171"/>
      <c r="I7" s="171"/>
      <c r="J7" s="171"/>
      <c r="K7" s="171"/>
      <c r="L7" s="171"/>
    </row>
    <row r="8" spans="1:12" ht="26.15" customHeight="1" x14ac:dyDescent="0.25">
      <c r="A8" s="148">
        <v>5</v>
      </c>
      <c r="B8" s="147" t="s">
        <v>113</v>
      </c>
      <c r="C8" s="171" t="str">
        <f>IF(L2="ENGLISH","In order to create energy baselines, calculations and/or conversions use Energy calc tab. Instructions are on described on the spreadsheet.",IF(L2="CHINESE","为了创建能量基准线，能量计算和/或转换请使用能量计算页。使用说明也在该页中。"))</f>
        <v>In order to create energy baselines, calculations and/or conversions use Energy calc tab. Instructions are on described on the spreadsheet.</v>
      </c>
      <c r="D8" s="171"/>
      <c r="E8" s="171"/>
      <c r="F8" s="171"/>
      <c r="G8" s="171"/>
      <c r="H8" s="171"/>
      <c r="I8" s="171"/>
      <c r="J8" s="171"/>
      <c r="K8" s="171"/>
      <c r="L8" s="171"/>
    </row>
    <row r="9" spans="1:12" x14ac:dyDescent="0.25">
      <c r="A9" s="149">
        <v>6</v>
      </c>
      <c r="B9" s="150" t="s">
        <v>113</v>
      </c>
      <c r="C9" s="170" t="str">
        <f>IF(L2="ENGLISH","Renewable energy targets must be filled considering your global operations.",IF(L2="CHINESE","可再生能源目标必须填写，且要考虑到您的全球运营情况。"))</f>
        <v>Renewable energy targets must be filled considering your global operations.</v>
      </c>
      <c r="D9" s="170"/>
      <c r="E9" s="170"/>
      <c r="F9" s="170"/>
      <c r="G9" s="170"/>
      <c r="H9" s="170"/>
      <c r="I9" s="170"/>
      <c r="J9" s="170"/>
      <c r="K9" s="170"/>
      <c r="L9" s="170"/>
    </row>
    <row r="10" spans="1:12" x14ac:dyDescent="0.25">
      <c r="A10" s="148">
        <v>7</v>
      </c>
      <c r="B10" s="147" t="s">
        <v>113</v>
      </c>
      <c r="C10" s="170" t="str">
        <f>IF(L2="ENGLISH","Optional questions are encouraged to be filled.",IF(L2="CHINESE","鼓励填写可选问题。"))</f>
        <v>Optional questions are encouraged to be filled.</v>
      </c>
      <c r="D10" s="170"/>
      <c r="E10" s="170"/>
      <c r="F10" s="170"/>
      <c r="G10" s="170"/>
      <c r="H10" s="170"/>
      <c r="I10" s="170"/>
      <c r="J10" s="170"/>
      <c r="K10" s="170"/>
      <c r="L10" s="170"/>
    </row>
    <row r="11" spans="1:12" x14ac:dyDescent="0.25">
      <c r="A11" s="149">
        <v>8</v>
      </c>
      <c r="B11" s="150" t="s">
        <v>113</v>
      </c>
      <c r="C11" s="152" t="str">
        <f>IF(L2="ENGLISH","Greenhouse gas emissions must be filled according your global operations for scope 1 and 2",IF(L2="CHINESE","根据全球运营情况必须填写范围1和范围2的温室气体排放。"))</f>
        <v>Greenhouse gas emissions must be filled according your global operations for scope 1 and 2</v>
      </c>
      <c r="D11" s="152"/>
      <c r="E11" s="152"/>
      <c r="F11" s="152"/>
      <c r="G11" s="152"/>
      <c r="H11" s="152"/>
      <c r="I11" s="152"/>
      <c r="J11" s="152"/>
      <c r="K11" s="152"/>
      <c r="L11" s="152"/>
    </row>
    <row r="12" spans="1:12" x14ac:dyDescent="0.25">
      <c r="A12" s="148">
        <v>9</v>
      </c>
      <c r="B12" s="147" t="s">
        <v>113</v>
      </c>
      <c r="C12" s="170" t="str">
        <f>IF(L2="ENGLISH","Reduction targets for greenhouse gas are optional but encouraged to be filled",IF(L2="CHINESE","温室气体减排目标是可选的，但鼓励填写。"))</f>
        <v>Reduction targets for greenhouse gas are optional but encouraged to be filled</v>
      </c>
      <c r="D12" s="170"/>
      <c r="E12" s="170"/>
      <c r="F12" s="170"/>
      <c r="G12" s="170"/>
      <c r="H12" s="170"/>
      <c r="I12" s="170"/>
      <c r="J12" s="170"/>
      <c r="K12" s="170"/>
      <c r="L12" s="170"/>
    </row>
    <row r="13" spans="1:12" x14ac:dyDescent="0.25">
      <c r="A13" s="149">
        <v>10</v>
      </c>
      <c r="B13" s="150" t="s">
        <v>113</v>
      </c>
      <c r="C13" s="170" t="str">
        <f>IF(L2="ENGLISH","Scrap from your products must be filled considering your global operations",IF(L2="CHINESE","产品废料必须填写，且要考虑到您的全球运营情况"))</f>
        <v>Scrap from your products must be filled considering your global operations</v>
      </c>
      <c r="D13" s="170"/>
      <c r="E13" s="170"/>
      <c r="F13" s="170"/>
      <c r="G13" s="170"/>
      <c r="H13" s="170"/>
      <c r="I13" s="170"/>
      <c r="J13" s="170"/>
      <c r="K13" s="170"/>
      <c r="L13" s="170"/>
    </row>
    <row r="14" spans="1:12" ht="12.65" customHeight="1" x14ac:dyDescent="0.25">
      <c r="A14" s="168" t="str">
        <f>IF(L2="ENGLISH",'Data Validation Tab'!A1,IF(L2="CHINESE",'Data Validation Tab'!A2))</f>
        <v>Disclaimer: 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v>
      </c>
      <c r="B14" s="168"/>
      <c r="C14" s="168"/>
      <c r="D14" s="168"/>
      <c r="E14" s="168"/>
      <c r="F14" s="168"/>
      <c r="G14" s="168"/>
      <c r="H14" s="168"/>
      <c r="I14" s="168"/>
      <c r="J14" s="168"/>
      <c r="K14" s="168"/>
      <c r="L14" s="168"/>
    </row>
    <row r="15" spans="1:12" x14ac:dyDescent="0.25">
      <c r="A15" s="168"/>
      <c r="B15" s="168"/>
      <c r="C15" s="168"/>
      <c r="D15" s="168"/>
      <c r="E15" s="168"/>
      <c r="F15" s="168"/>
      <c r="G15" s="168"/>
      <c r="H15" s="168"/>
      <c r="I15" s="168"/>
      <c r="J15" s="168"/>
      <c r="K15" s="168"/>
      <c r="L15" s="168"/>
    </row>
    <row r="16" spans="1:12" x14ac:dyDescent="0.25">
      <c r="A16" s="168"/>
      <c r="B16" s="168"/>
      <c r="C16" s="168"/>
      <c r="D16" s="168"/>
      <c r="E16" s="168"/>
      <c r="F16" s="168"/>
      <c r="G16" s="168"/>
      <c r="H16" s="168"/>
      <c r="I16" s="168"/>
      <c r="J16" s="168"/>
      <c r="K16" s="168"/>
      <c r="L16" s="168"/>
    </row>
    <row r="17" spans="1:12" x14ac:dyDescent="0.25">
      <c r="A17" s="168"/>
      <c r="B17" s="168"/>
      <c r="C17" s="168"/>
      <c r="D17" s="168"/>
      <c r="E17" s="168"/>
      <c r="F17" s="168"/>
      <c r="G17" s="168"/>
      <c r="H17" s="168"/>
      <c r="I17" s="168"/>
      <c r="J17" s="168"/>
      <c r="K17" s="168"/>
      <c r="L17" s="168"/>
    </row>
    <row r="18" spans="1:12" x14ac:dyDescent="0.25">
      <c r="A18" s="168"/>
      <c r="B18" s="168"/>
      <c r="C18" s="168"/>
      <c r="D18" s="168"/>
      <c r="E18" s="168"/>
      <c r="F18" s="168"/>
      <c r="G18" s="168"/>
      <c r="H18" s="168"/>
      <c r="I18" s="168"/>
      <c r="J18" s="168"/>
      <c r="K18" s="168"/>
      <c r="L18" s="168"/>
    </row>
    <row r="19" spans="1:12" x14ac:dyDescent="0.25">
      <c r="A19" s="168"/>
      <c r="B19" s="168"/>
      <c r="C19" s="168"/>
      <c r="D19" s="168"/>
      <c r="E19" s="168"/>
      <c r="F19" s="168"/>
      <c r="G19" s="168"/>
      <c r="H19" s="168"/>
      <c r="I19" s="168"/>
      <c r="J19" s="168"/>
      <c r="K19" s="168"/>
      <c r="L19" s="168"/>
    </row>
    <row r="20" spans="1:12" x14ac:dyDescent="0.25">
      <c r="A20" s="168"/>
      <c r="B20" s="168"/>
      <c r="C20" s="168"/>
      <c r="D20" s="168"/>
      <c r="E20" s="168"/>
      <c r="F20" s="168"/>
      <c r="G20" s="168"/>
      <c r="H20" s="168"/>
      <c r="I20" s="168"/>
      <c r="J20" s="168"/>
      <c r="K20" s="168"/>
      <c r="L20" s="168"/>
    </row>
    <row r="21" spans="1:12" ht="30" customHeight="1" x14ac:dyDescent="0.25">
      <c r="A21" s="168"/>
      <c r="B21" s="168"/>
      <c r="C21" s="168"/>
      <c r="D21" s="168"/>
      <c r="E21" s="168"/>
      <c r="F21" s="168"/>
      <c r="G21" s="168"/>
      <c r="H21" s="168"/>
      <c r="I21" s="168"/>
      <c r="J21" s="168"/>
      <c r="K21" s="168"/>
      <c r="L21" s="168"/>
    </row>
    <row r="22" spans="1:12" x14ac:dyDescent="0.25">
      <c r="A22"/>
      <c r="B22"/>
    </row>
    <row r="23" spans="1:12" x14ac:dyDescent="0.25">
      <c r="A23"/>
      <c r="B23"/>
    </row>
    <row r="24" spans="1:12" x14ac:dyDescent="0.25">
      <c r="A24"/>
      <c r="B24"/>
    </row>
    <row r="25" spans="1:12" x14ac:dyDescent="0.25">
      <c r="A25"/>
      <c r="B25"/>
    </row>
    <row r="26" spans="1:12" x14ac:dyDescent="0.25">
      <c r="A26"/>
      <c r="B26"/>
    </row>
    <row r="27" spans="1:12" x14ac:dyDescent="0.25">
      <c r="A27"/>
      <c r="B27"/>
    </row>
    <row r="28" spans="1:12" x14ac:dyDescent="0.25">
      <c r="A28"/>
      <c r="B28"/>
    </row>
    <row r="29" spans="1:12" x14ac:dyDescent="0.25">
      <c r="A29"/>
      <c r="B29"/>
    </row>
    <row r="30" spans="1:12" x14ac:dyDescent="0.25">
      <c r="A30"/>
      <c r="B30"/>
    </row>
    <row r="31" spans="1:12" x14ac:dyDescent="0.25">
      <c r="A31"/>
      <c r="B31"/>
    </row>
    <row r="32" spans="1: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sheetData>
  <mergeCells count="13">
    <mergeCell ref="A14:L21"/>
    <mergeCell ref="A1:L1"/>
    <mergeCell ref="C6:L6"/>
    <mergeCell ref="C8:L8"/>
    <mergeCell ref="C7:L7"/>
    <mergeCell ref="C5:L5"/>
    <mergeCell ref="C4:L4"/>
    <mergeCell ref="A3:L3"/>
    <mergeCell ref="C9:L9"/>
    <mergeCell ref="C10:L10"/>
    <mergeCell ref="C12:L12"/>
    <mergeCell ref="C13:L13"/>
    <mergeCell ref="A2:K2"/>
  </mergeCells>
  <printOptions headings="1"/>
  <pageMargins left="0.7" right="0.7" top="0.75" bottom="0.75" header="0.3" footer="0.3"/>
  <pageSetup scale="96" orientation="portrait" r:id="rId1"/>
  <headerFooter scaleWithDoc="0"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3122351-C4EB-4198-9AF6-4327CFAE68D9}">
          <x14:formula1>
            <xm:f>'Data Validation Tab'!$B$1:$B$2</xm:f>
          </x14:formula1>
          <xm:sqref>L2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8039-52D3-4911-BFB7-3EC10DB95F25}">
  <sheetPr codeName="Sheet5"/>
  <dimension ref="A1:AV75"/>
  <sheetViews>
    <sheetView topLeftCell="AW1" workbookViewId="0">
      <selection sqref="A1:AV1048576"/>
    </sheetView>
  </sheetViews>
  <sheetFormatPr defaultRowHeight="12.5" x14ac:dyDescent="0.25"/>
  <cols>
    <col min="1" max="2" width="8.7265625" hidden="1" customWidth="1"/>
    <col min="3" max="3" width="10.81640625" hidden="1" customWidth="1"/>
    <col min="4" max="4" width="58.81640625" hidden="1" customWidth="1"/>
    <col min="5" max="5" width="8.7265625" hidden="1" customWidth="1"/>
    <col min="6" max="6" width="15.54296875" hidden="1" customWidth="1"/>
    <col min="7" max="7" width="44.54296875" hidden="1" customWidth="1"/>
    <col min="8" max="8" width="15.81640625" hidden="1" customWidth="1"/>
    <col min="9" max="9" width="43.81640625" hidden="1" customWidth="1"/>
    <col min="10" max="10" width="22.453125" hidden="1" customWidth="1"/>
    <col min="11" max="17" width="8.7265625" hidden="1" customWidth="1"/>
    <col min="18" max="18" width="12.1796875" hidden="1" customWidth="1"/>
    <col min="19" max="20" width="8.7265625" hidden="1" customWidth="1"/>
    <col min="21" max="21" width="10.81640625" hidden="1" customWidth="1"/>
    <col min="22" max="35" width="8.7265625" hidden="1" customWidth="1"/>
    <col min="36" max="36" width="20.81640625" hidden="1" customWidth="1"/>
    <col min="37" max="37" width="12.81640625" hidden="1" customWidth="1"/>
    <col min="38" max="38" width="8.7265625" hidden="1" customWidth="1"/>
    <col min="39" max="39" width="27.81640625" hidden="1" customWidth="1"/>
    <col min="40" max="48" width="8.7265625" hidden="1" customWidth="1"/>
    <col min="49" max="58" width="8.7265625" customWidth="1"/>
  </cols>
  <sheetData>
    <row r="1" spans="1:47" x14ac:dyDescent="0.25">
      <c r="A1" t="s">
        <v>100</v>
      </c>
      <c r="B1" t="s">
        <v>118</v>
      </c>
      <c r="C1" s="1" t="s">
        <v>120</v>
      </c>
      <c r="D1" s="1" t="s">
        <v>123</v>
      </c>
      <c r="E1" s="3">
        <v>0.05</v>
      </c>
      <c r="F1" s="1" t="s">
        <v>162</v>
      </c>
      <c r="G1" s="161" t="s">
        <v>193</v>
      </c>
      <c r="H1" s="1" t="s">
        <v>169</v>
      </c>
      <c r="I1" s="1" t="s">
        <v>174</v>
      </c>
      <c r="J1" s="1" t="s">
        <v>128</v>
      </c>
      <c r="K1" s="1" t="s">
        <v>120</v>
      </c>
      <c r="L1" s="1" t="s">
        <v>175</v>
      </c>
      <c r="M1" s="161" t="s">
        <v>15</v>
      </c>
      <c r="N1" s="1" t="s">
        <v>19</v>
      </c>
      <c r="O1" s="1" t="s">
        <v>28</v>
      </c>
      <c r="P1" s="1" t="s">
        <v>19</v>
      </c>
      <c r="R1" s="1" t="s">
        <v>60</v>
      </c>
      <c r="U1" t="s">
        <v>46</v>
      </c>
      <c r="X1" s="1"/>
      <c r="Y1" s="1" t="s">
        <v>52</v>
      </c>
      <c r="AA1" s="1" t="s">
        <v>53</v>
      </c>
      <c r="AC1" t="s">
        <v>58</v>
      </c>
      <c r="AD1" t="s">
        <v>19</v>
      </c>
      <c r="AE1">
        <v>0.4536</v>
      </c>
      <c r="AH1" s="1" t="s">
        <v>106</v>
      </c>
      <c r="AI1">
        <v>2001</v>
      </c>
      <c r="AJ1" s="1" t="s">
        <v>132</v>
      </c>
      <c r="AK1" s="1" t="s">
        <v>139</v>
      </c>
      <c r="AL1" t="s">
        <v>96</v>
      </c>
      <c r="AM1" s="161" t="s">
        <v>193</v>
      </c>
      <c r="AP1" t="s">
        <v>104</v>
      </c>
      <c r="AQ1" s="1" t="s">
        <v>152</v>
      </c>
      <c r="AR1" s="1" t="s">
        <v>146</v>
      </c>
      <c r="AS1" s="1" t="s">
        <v>152</v>
      </c>
      <c r="AT1" s="1" t="s">
        <v>157</v>
      </c>
      <c r="AU1" s="1" t="s">
        <v>96</v>
      </c>
    </row>
    <row r="2" spans="1:47" ht="37.5" x14ac:dyDescent="0.25">
      <c r="A2" t="s">
        <v>116</v>
      </c>
      <c r="B2" t="s">
        <v>119</v>
      </c>
      <c r="C2" s="1" t="s">
        <v>121</v>
      </c>
      <c r="D2" s="1" t="s">
        <v>124</v>
      </c>
      <c r="E2" s="3">
        <v>0.1</v>
      </c>
      <c r="F2" s="1" t="s">
        <v>163</v>
      </c>
      <c r="G2" s="166" t="s">
        <v>194</v>
      </c>
      <c r="H2" s="1" t="s">
        <v>170</v>
      </c>
      <c r="I2" s="1" t="s">
        <v>0</v>
      </c>
      <c r="J2" s="1" t="s">
        <v>129</v>
      </c>
      <c r="K2" s="1" t="s">
        <v>121</v>
      </c>
      <c r="L2" s="1" t="s">
        <v>176</v>
      </c>
      <c r="M2" s="161" t="s">
        <v>16</v>
      </c>
      <c r="N2" s="1" t="s">
        <v>20</v>
      </c>
      <c r="O2" s="1" t="s">
        <v>29</v>
      </c>
      <c r="P2" s="1" t="s">
        <v>20</v>
      </c>
      <c r="R2">
        <v>1.055E-9</v>
      </c>
      <c r="U2" t="s">
        <v>45</v>
      </c>
      <c r="X2" t="s">
        <v>46</v>
      </c>
      <c r="Y2" s="1">
        <v>2.9283000000000001</v>
      </c>
      <c r="Z2" s="6">
        <f>Y2/10000</f>
        <v>2.9283E-4</v>
      </c>
      <c r="AA2" s="6">
        <f>Z2/1000</f>
        <v>2.9283000000000001E-7</v>
      </c>
      <c r="AB2">
        <v>2.9283000000000001E-7</v>
      </c>
      <c r="AC2" t="s">
        <v>29</v>
      </c>
      <c r="AD2" t="s">
        <v>20</v>
      </c>
      <c r="AE2">
        <f>0.159/AE1</f>
        <v>0.35052910052910052</v>
      </c>
      <c r="AF2">
        <v>0.35052910052910052</v>
      </c>
      <c r="AG2" t="s">
        <v>19</v>
      </c>
      <c r="AH2" s="1" t="s">
        <v>80</v>
      </c>
      <c r="AI2">
        <v>2002</v>
      </c>
      <c r="AJ2" s="1" t="s">
        <v>133</v>
      </c>
      <c r="AK2" s="1" t="s">
        <v>140</v>
      </c>
      <c r="AL2" t="s">
        <v>97</v>
      </c>
      <c r="AM2" s="166" t="s">
        <v>194</v>
      </c>
      <c r="AP2" t="s">
        <v>105</v>
      </c>
      <c r="AQ2" s="1" t="s">
        <v>153</v>
      </c>
      <c r="AR2" s="1" t="s">
        <v>127</v>
      </c>
      <c r="AS2" s="1" t="s">
        <v>153</v>
      </c>
      <c r="AT2" s="1" t="s">
        <v>158</v>
      </c>
      <c r="AU2" s="1" t="s">
        <v>110</v>
      </c>
    </row>
    <row r="3" spans="1:47" ht="50.5" x14ac:dyDescent="0.3">
      <c r="C3" s="1" t="s">
        <v>122</v>
      </c>
      <c r="D3" s="1" t="s">
        <v>125</v>
      </c>
      <c r="E3" s="3">
        <v>0.15</v>
      </c>
      <c r="F3" s="1" t="s">
        <v>164</v>
      </c>
      <c r="G3" s="166" t="s">
        <v>195</v>
      </c>
      <c r="H3" s="1" t="s">
        <v>171</v>
      </c>
      <c r="I3" s="1" t="s">
        <v>1</v>
      </c>
      <c r="J3" s="1" t="s">
        <v>130</v>
      </c>
      <c r="K3" s="1" t="s">
        <v>131</v>
      </c>
      <c r="L3" s="1" t="s">
        <v>177</v>
      </c>
      <c r="M3" s="161" t="s">
        <v>17</v>
      </c>
      <c r="N3" s="1" t="s">
        <v>21</v>
      </c>
      <c r="O3" s="1" t="s">
        <v>30</v>
      </c>
      <c r="P3" s="1" t="s">
        <v>21</v>
      </c>
      <c r="R3">
        <f>$R$2/U18</f>
        <v>6.635220125786163E-9</v>
      </c>
      <c r="S3">
        <v>6.635220125786163E-9</v>
      </c>
      <c r="T3" t="s">
        <v>19</v>
      </c>
      <c r="U3" t="s">
        <v>44</v>
      </c>
      <c r="X3" t="s">
        <v>45</v>
      </c>
      <c r="AA3" s="6">
        <v>2.9283000000000001E-7</v>
      </c>
      <c r="AB3">
        <v>2.9283000000000001E-7</v>
      </c>
      <c r="AD3" t="s">
        <v>24</v>
      </c>
      <c r="AE3">
        <f>1/AE1</f>
        <v>2.204585537918871</v>
      </c>
      <c r="AF3">
        <v>2.204585537918871</v>
      </c>
      <c r="AG3" t="s">
        <v>24</v>
      </c>
      <c r="AH3" s="1" t="s">
        <v>81</v>
      </c>
      <c r="AI3">
        <v>2003</v>
      </c>
      <c r="AJ3" s="1" t="s">
        <v>134</v>
      </c>
      <c r="AK3" s="1" t="s">
        <v>141</v>
      </c>
      <c r="AL3" t="s">
        <v>98</v>
      </c>
      <c r="AM3" s="166" t="s">
        <v>195</v>
      </c>
      <c r="AQ3" s="1" t="s">
        <v>154</v>
      </c>
      <c r="AR3" s="1" t="s">
        <v>147</v>
      </c>
      <c r="AS3" s="1" t="s">
        <v>154</v>
      </c>
      <c r="AT3" s="1" t="s">
        <v>159</v>
      </c>
      <c r="AU3" s="1" t="s">
        <v>98</v>
      </c>
    </row>
    <row r="4" spans="1:47" ht="50" x14ac:dyDescent="0.25">
      <c r="D4" s="1" t="s">
        <v>126</v>
      </c>
      <c r="E4" s="3">
        <v>0.2</v>
      </c>
      <c r="F4" s="1" t="s">
        <v>165</v>
      </c>
      <c r="G4" s="166" t="s">
        <v>196</v>
      </c>
      <c r="H4" s="1" t="s">
        <v>172</v>
      </c>
      <c r="I4" s="1" t="s">
        <v>2</v>
      </c>
      <c r="L4" s="1"/>
      <c r="M4" s="161" t="s">
        <v>18</v>
      </c>
      <c r="N4" s="1" t="s">
        <v>22</v>
      </c>
      <c r="O4" s="1" t="s">
        <v>31</v>
      </c>
      <c r="P4" s="1" t="s">
        <v>22</v>
      </c>
      <c r="R4">
        <f t="shared" ref="R4:R13" si="0">$R$2/U19</f>
        <v>1.055E-9</v>
      </c>
      <c r="S4" s="4">
        <v>1.055E-9</v>
      </c>
      <c r="T4" s="4" t="s">
        <v>24</v>
      </c>
      <c r="U4" t="s">
        <v>47</v>
      </c>
      <c r="X4" t="s">
        <v>44</v>
      </c>
      <c r="AA4" s="6">
        <f>AA3*12000</f>
        <v>3.51396E-3</v>
      </c>
      <c r="AB4">
        <v>3.51396E-3</v>
      </c>
      <c r="AD4" t="s">
        <v>21</v>
      </c>
      <c r="AE4">
        <f>0.003785/AE1</f>
        <v>8.3443562610229279E-3</v>
      </c>
      <c r="AF4">
        <v>8.3443562610229279E-3</v>
      </c>
      <c r="AG4" t="s">
        <v>41</v>
      </c>
      <c r="AH4" s="1" t="s">
        <v>82</v>
      </c>
      <c r="AI4">
        <v>2004</v>
      </c>
      <c r="AJ4" s="1" t="s">
        <v>135</v>
      </c>
      <c r="AK4" s="1" t="s">
        <v>142</v>
      </c>
      <c r="AL4" t="s">
        <v>99</v>
      </c>
      <c r="AM4" s="166" t="s">
        <v>196</v>
      </c>
      <c r="AQ4" s="1" t="s">
        <v>155</v>
      </c>
      <c r="AR4" s="1" t="s">
        <v>148</v>
      </c>
      <c r="AS4" s="1" t="s">
        <v>155</v>
      </c>
      <c r="AT4" s="1" t="s">
        <v>160</v>
      </c>
      <c r="AU4" s="1" t="s">
        <v>111</v>
      </c>
    </row>
    <row r="5" spans="1:47" ht="37.5" x14ac:dyDescent="0.25">
      <c r="D5" s="1" t="s">
        <v>127</v>
      </c>
      <c r="E5" s="3">
        <v>0.25</v>
      </c>
      <c r="F5" s="1" t="s">
        <v>166</v>
      </c>
      <c r="G5" s="166" t="s">
        <v>197</v>
      </c>
      <c r="H5" s="1" t="s">
        <v>173</v>
      </c>
      <c r="I5" s="1" t="s">
        <v>3</v>
      </c>
      <c r="L5" s="1"/>
      <c r="N5" s="1" t="s">
        <v>23</v>
      </c>
      <c r="O5" s="1" t="s">
        <v>32</v>
      </c>
      <c r="P5" s="1" t="s">
        <v>23</v>
      </c>
      <c r="R5">
        <f t="shared" si="0"/>
        <v>3.7252824858757059E-9</v>
      </c>
      <c r="S5" s="4">
        <v>3.7252824858757059E-9</v>
      </c>
      <c r="T5" s="4" t="s">
        <v>20</v>
      </c>
      <c r="U5" t="s">
        <v>48</v>
      </c>
      <c r="X5" t="s">
        <v>47</v>
      </c>
      <c r="Y5">
        <v>3.7655400000000001</v>
      </c>
      <c r="Z5">
        <f>Y5/10000000</f>
        <v>3.7655400000000002E-7</v>
      </c>
      <c r="AA5">
        <f>Z5/1000</f>
        <v>3.7655400000000004E-10</v>
      </c>
      <c r="AB5">
        <v>3.7655400000000004E-10</v>
      </c>
      <c r="AD5" t="s">
        <v>59</v>
      </c>
      <c r="AE5">
        <f>0.004546/AE1</f>
        <v>1.0022045855379188E-2</v>
      </c>
      <c r="AF5">
        <v>1.0022045855379188E-2</v>
      </c>
      <c r="AG5" t="s">
        <v>42</v>
      </c>
      <c r="AH5" s="1" t="s">
        <v>83</v>
      </c>
      <c r="AI5">
        <v>2005</v>
      </c>
      <c r="AJ5" s="1" t="s">
        <v>136</v>
      </c>
      <c r="AK5" s="1" t="s">
        <v>143</v>
      </c>
      <c r="AM5" s="166" t="s">
        <v>197</v>
      </c>
      <c r="AQ5" s="1" t="s">
        <v>156</v>
      </c>
      <c r="AR5" s="1" t="s">
        <v>149</v>
      </c>
      <c r="AS5" s="1" t="s">
        <v>156</v>
      </c>
      <c r="AT5" s="1" t="s">
        <v>161</v>
      </c>
    </row>
    <row r="6" spans="1:47" ht="25" x14ac:dyDescent="0.25">
      <c r="E6" s="3">
        <v>0.3</v>
      </c>
      <c r="F6" s="1" t="s">
        <v>167</v>
      </c>
      <c r="G6" s="166" t="s">
        <v>198</v>
      </c>
      <c r="I6" s="1" t="s">
        <v>4</v>
      </c>
      <c r="L6" s="1"/>
      <c r="N6" s="1" t="s">
        <v>24</v>
      </c>
      <c r="O6" s="1"/>
      <c r="P6" s="1" t="s">
        <v>24</v>
      </c>
      <c r="R6">
        <f t="shared" si="0"/>
        <v>2.7873183619550854E-7</v>
      </c>
      <c r="S6">
        <v>2.7873183619550854E-7</v>
      </c>
      <c r="T6" s="4" t="s">
        <v>41</v>
      </c>
      <c r="U6" s="1" t="s">
        <v>79</v>
      </c>
      <c r="X6" t="s">
        <v>48</v>
      </c>
      <c r="Y6" s="1">
        <v>0.74570000000000003</v>
      </c>
      <c r="AA6">
        <f>Y6/1000</f>
        <v>7.4570000000000007E-4</v>
      </c>
      <c r="AB6">
        <v>7.4570000000000007E-4</v>
      </c>
      <c r="AD6" t="s">
        <v>23</v>
      </c>
      <c r="AE6">
        <f>0.001/AE1</f>
        <v>2.2045855379188711E-3</v>
      </c>
      <c r="AF6">
        <v>2.2045855379188711E-3</v>
      </c>
      <c r="AG6" t="s">
        <v>23</v>
      </c>
      <c r="AH6" s="1" t="s">
        <v>84</v>
      </c>
      <c r="AI6">
        <v>2006</v>
      </c>
      <c r="AJ6" s="1" t="s">
        <v>137</v>
      </c>
      <c r="AK6" s="1" t="s">
        <v>144</v>
      </c>
      <c r="AM6" s="166" t="s">
        <v>198</v>
      </c>
      <c r="AR6" s="1" t="s">
        <v>150</v>
      </c>
      <c r="AT6" s="1" t="s">
        <v>109</v>
      </c>
    </row>
    <row r="7" spans="1:47" x14ac:dyDescent="0.25">
      <c r="E7" s="3">
        <v>0.35</v>
      </c>
      <c r="F7" s="1" t="s">
        <v>168</v>
      </c>
      <c r="G7" s="161" t="s">
        <v>199</v>
      </c>
      <c r="I7" s="1" t="s">
        <v>5</v>
      </c>
      <c r="O7" s="1"/>
      <c r="P7" s="1" t="s">
        <v>28</v>
      </c>
      <c r="R7">
        <f t="shared" si="0"/>
        <v>2.32072151341839E-7</v>
      </c>
      <c r="S7">
        <v>2.32072151341839E-7</v>
      </c>
      <c r="T7" s="4" t="s">
        <v>42</v>
      </c>
      <c r="U7" s="1" t="s">
        <v>51</v>
      </c>
      <c r="X7" t="s">
        <v>49</v>
      </c>
      <c r="AE7" s="4">
        <f>0.02832/AE1</f>
        <v>6.2433862433862439E-2</v>
      </c>
      <c r="AF7" s="4">
        <v>6.2433862433862439E-2</v>
      </c>
      <c r="AG7" s="4" t="s">
        <v>20</v>
      </c>
      <c r="AH7" s="1" t="s">
        <v>85</v>
      </c>
      <c r="AI7">
        <v>2007</v>
      </c>
      <c r="AJ7" s="1" t="s">
        <v>138</v>
      </c>
      <c r="AK7" s="1" t="s">
        <v>145</v>
      </c>
      <c r="AM7" s="161" t="s">
        <v>199</v>
      </c>
      <c r="AR7" s="1" t="s">
        <v>151</v>
      </c>
    </row>
    <row r="8" spans="1:47" ht="50" x14ac:dyDescent="0.25">
      <c r="E8" s="3">
        <v>0.4</v>
      </c>
      <c r="G8" s="166" t="s">
        <v>200</v>
      </c>
      <c r="I8" s="1" t="s">
        <v>6</v>
      </c>
      <c r="O8" s="1"/>
      <c r="P8" s="1" t="s">
        <v>29</v>
      </c>
      <c r="R8">
        <f t="shared" si="0"/>
        <v>1.0549999999999999E-6</v>
      </c>
      <c r="S8">
        <v>1.0549999999999999E-6</v>
      </c>
      <c r="T8" s="7" t="s">
        <v>23</v>
      </c>
      <c r="AH8" s="1" t="s">
        <v>86</v>
      </c>
      <c r="AI8">
        <v>2008</v>
      </c>
      <c r="AM8" s="166" t="s">
        <v>200</v>
      </c>
    </row>
    <row r="9" spans="1:47" x14ac:dyDescent="0.25">
      <c r="E9" s="3">
        <v>0.45</v>
      </c>
      <c r="G9" s="1"/>
      <c r="I9" s="1" t="s">
        <v>7</v>
      </c>
      <c r="O9" s="1"/>
      <c r="P9" s="1" t="s">
        <v>30</v>
      </c>
      <c r="R9">
        <f t="shared" si="0"/>
        <v>1.0549999999999999E-3</v>
      </c>
      <c r="S9">
        <v>1.0549999999999999E-3</v>
      </c>
      <c r="T9" s="7" t="s">
        <v>28</v>
      </c>
      <c r="AH9" s="1" t="s">
        <v>87</v>
      </c>
      <c r="AI9">
        <v>2009</v>
      </c>
    </row>
    <row r="10" spans="1:47" x14ac:dyDescent="0.25">
      <c r="E10" s="3">
        <v>0.5</v>
      </c>
      <c r="H10" s="5"/>
      <c r="I10" s="1" t="s">
        <v>8</v>
      </c>
      <c r="O10" s="1"/>
      <c r="P10" s="1" t="s">
        <v>31</v>
      </c>
      <c r="R10">
        <f t="shared" si="0"/>
        <v>2.3258377425044092E-5</v>
      </c>
      <c r="S10">
        <v>2.3258377425044092E-5</v>
      </c>
      <c r="T10" s="7" t="s">
        <v>29</v>
      </c>
      <c r="AH10" s="1" t="s">
        <v>88</v>
      </c>
      <c r="AI10">
        <v>2010</v>
      </c>
    </row>
    <row r="11" spans="1:47" x14ac:dyDescent="0.25">
      <c r="E11" s="3">
        <v>0.55000000000000004</v>
      </c>
      <c r="H11" s="5"/>
      <c r="I11" s="1" t="s">
        <v>9</v>
      </c>
      <c r="O11" s="1"/>
      <c r="P11" s="1" t="s">
        <v>32</v>
      </c>
      <c r="R11">
        <f t="shared" si="0"/>
        <v>1.0383858267716535E-9</v>
      </c>
      <c r="S11">
        <v>1.0383858267716535E-9</v>
      </c>
      <c r="T11" s="7" t="s">
        <v>43</v>
      </c>
      <c r="AH11" s="1" t="s">
        <v>89</v>
      </c>
      <c r="AI11">
        <v>2011</v>
      </c>
    </row>
    <row r="12" spans="1:47" x14ac:dyDescent="0.25">
      <c r="E12" s="3">
        <v>0.6</v>
      </c>
      <c r="H12" s="5"/>
      <c r="I12" s="1" t="s">
        <v>10</v>
      </c>
      <c r="O12" s="1"/>
      <c r="P12" s="1" t="s">
        <v>66</v>
      </c>
      <c r="R12">
        <f t="shared" si="0"/>
        <v>1.055E-9</v>
      </c>
      <c r="S12">
        <v>1.055E-9</v>
      </c>
      <c r="T12" s="7" t="s">
        <v>31</v>
      </c>
      <c r="AH12" s="1" t="s">
        <v>90</v>
      </c>
      <c r="AI12">
        <v>2012</v>
      </c>
    </row>
    <row r="13" spans="1:47" x14ac:dyDescent="0.25">
      <c r="E13" s="3">
        <v>0.65</v>
      </c>
      <c r="H13" s="5"/>
      <c r="I13" s="1" t="s">
        <v>11</v>
      </c>
      <c r="O13" s="1"/>
      <c r="R13">
        <f t="shared" si="0"/>
        <v>1.1630470730900672E-9</v>
      </c>
      <c r="S13">
        <v>1.1630470730900672E-9</v>
      </c>
      <c r="T13" s="7" t="s">
        <v>32</v>
      </c>
      <c r="AH13" s="1" t="s">
        <v>91</v>
      </c>
      <c r="AI13">
        <v>2013</v>
      </c>
    </row>
    <row r="14" spans="1:47" x14ac:dyDescent="0.25">
      <c r="E14" s="3">
        <v>0.7</v>
      </c>
      <c r="H14" s="5"/>
      <c r="I14" s="1" t="s">
        <v>138</v>
      </c>
      <c r="O14" s="1"/>
      <c r="AH14" s="1" t="s">
        <v>92</v>
      </c>
      <c r="AI14">
        <v>2014</v>
      </c>
    </row>
    <row r="15" spans="1:47" x14ac:dyDescent="0.25">
      <c r="E15" s="3">
        <v>0.75</v>
      </c>
      <c r="O15" s="1"/>
      <c r="R15" s="1" t="s">
        <v>61</v>
      </c>
      <c r="AH15" s="1" t="s">
        <v>93</v>
      </c>
      <c r="AI15">
        <v>2015</v>
      </c>
    </row>
    <row r="16" spans="1:47" x14ac:dyDescent="0.25">
      <c r="E16" s="3">
        <v>0.8</v>
      </c>
      <c r="O16" s="1"/>
      <c r="AI16">
        <v>2016</v>
      </c>
    </row>
    <row r="17" spans="5:35" x14ac:dyDescent="0.25">
      <c r="E17" s="3">
        <v>0.85</v>
      </c>
      <c r="O17" s="1"/>
      <c r="R17">
        <f>1/1000000000000</f>
        <v>9.9999999999999998E-13</v>
      </c>
      <c r="AI17">
        <v>2017</v>
      </c>
    </row>
    <row r="18" spans="5:35" x14ac:dyDescent="0.25">
      <c r="E18" s="3">
        <v>0.9</v>
      </c>
      <c r="O18" s="1"/>
      <c r="R18">
        <f>$R$17/U18</f>
        <v>6.289308176100629E-12</v>
      </c>
      <c r="S18">
        <v>6.289308176100629E-12</v>
      </c>
      <c r="T18" t="s">
        <v>19</v>
      </c>
      <c r="U18">
        <v>0.159</v>
      </c>
      <c r="AI18">
        <v>2018</v>
      </c>
    </row>
    <row r="19" spans="5:35" x14ac:dyDescent="0.25">
      <c r="E19" s="3">
        <v>0.95</v>
      </c>
      <c r="O19" s="1"/>
      <c r="R19">
        <f t="shared" ref="R19:R28" si="1">$R$17/U19</f>
        <v>9.9999999999999998E-13</v>
      </c>
      <c r="S19">
        <v>9.9999999999999998E-13</v>
      </c>
      <c r="T19" s="4" t="s">
        <v>24</v>
      </c>
      <c r="U19">
        <v>1</v>
      </c>
      <c r="AI19">
        <v>2019</v>
      </c>
    </row>
    <row r="20" spans="5:35" x14ac:dyDescent="0.25">
      <c r="E20" s="3">
        <v>1</v>
      </c>
      <c r="O20" s="1"/>
      <c r="R20">
        <f t="shared" si="1"/>
        <v>3.5310734463276834E-12</v>
      </c>
      <c r="S20">
        <v>3.5310734463276834E-12</v>
      </c>
      <c r="T20" s="4" t="s">
        <v>20</v>
      </c>
      <c r="U20">
        <v>0.28320000000000001</v>
      </c>
      <c r="AI20">
        <v>2020</v>
      </c>
    </row>
    <row r="21" spans="5:35" x14ac:dyDescent="0.25">
      <c r="O21" s="1"/>
      <c r="R21">
        <f t="shared" si="1"/>
        <v>2.6420079260237781E-10</v>
      </c>
      <c r="S21">
        <v>2.6420079260237781E-10</v>
      </c>
      <c r="T21" s="4" t="s">
        <v>41</v>
      </c>
      <c r="U21">
        <v>3.7850000000000002E-3</v>
      </c>
      <c r="AI21">
        <v>2021</v>
      </c>
    </row>
    <row r="22" spans="5:35" x14ac:dyDescent="0.25">
      <c r="O22" s="1"/>
      <c r="R22">
        <f t="shared" si="1"/>
        <v>2.1997360316761989E-10</v>
      </c>
      <c r="S22">
        <v>2.1997360316761989E-10</v>
      </c>
      <c r="T22" s="4" t="s">
        <v>42</v>
      </c>
      <c r="U22">
        <v>4.5459999999999997E-3</v>
      </c>
      <c r="AI22">
        <v>2022</v>
      </c>
    </row>
    <row r="23" spans="5:35" x14ac:dyDescent="0.25">
      <c r="O23" s="1"/>
      <c r="R23">
        <f t="shared" si="1"/>
        <v>1.0000000000000001E-9</v>
      </c>
      <c r="S23">
        <v>1.0000000000000001E-9</v>
      </c>
      <c r="T23" s="7" t="s">
        <v>23</v>
      </c>
      <c r="U23">
        <v>1E-3</v>
      </c>
    </row>
    <row r="24" spans="5:35" x14ac:dyDescent="0.25">
      <c r="O24" s="1"/>
      <c r="R24">
        <f t="shared" si="1"/>
        <v>9.9999999999999995E-7</v>
      </c>
      <c r="S24">
        <v>9.9999999999999995E-7</v>
      </c>
      <c r="T24" s="7" t="s">
        <v>28</v>
      </c>
      <c r="U24">
        <v>9.9999999999999995E-7</v>
      </c>
    </row>
    <row r="25" spans="5:35" x14ac:dyDescent="0.25">
      <c r="O25" s="1"/>
      <c r="R25">
        <f t="shared" si="1"/>
        <v>2.2045855379188713E-8</v>
      </c>
      <c r="S25">
        <v>2.2045855379188713E-8</v>
      </c>
      <c r="T25" s="7" t="s">
        <v>29</v>
      </c>
      <c r="U25">
        <v>4.5359999999999999E-5</v>
      </c>
    </row>
    <row r="26" spans="5:35" x14ac:dyDescent="0.25">
      <c r="O26" s="1"/>
      <c r="R26">
        <f t="shared" si="1"/>
        <v>9.8425196850393689E-13</v>
      </c>
      <c r="S26">
        <v>9.8425196850393689E-13</v>
      </c>
      <c r="T26" s="7" t="s">
        <v>43</v>
      </c>
      <c r="U26">
        <v>1.016</v>
      </c>
    </row>
    <row r="27" spans="5:35" x14ac:dyDescent="0.25">
      <c r="O27" s="1"/>
      <c r="R27">
        <f t="shared" si="1"/>
        <v>9.9999999999999998E-13</v>
      </c>
      <c r="S27">
        <v>9.9999999999999998E-13</v>
      </c>
      <c r="T27" s="7" t="s">
        <v>31</v>
      </c>
      <c r="U27">
        <v>1</v>
      </c>
    </row>
    <row r="28" spans="5:35" x14ac:dyDescent="0.25">
      <c r="O28" s="1"/>
      <c r="R28">
        <f t="shared" si="1"/>
        <v>1.1024142872891632E-12</v>
      </c>
      <c r="S28">
        <v>1.1024142872891632E-12</v>
      </c>
      <c r="T28" s="7" t="s">
        <v>32</v>
      </c>
      <c r="U28">
        <v>0.90710000000000002</v>
      </c>
    </row>
    <row r="29" spans="5:35" x14ac:dyDescent="0.25">
      <c r="O29" s="1"/>
    </row>
    <row r="30" spans="5:35" x14ac:dyDescent="0.25">
      <c r="O30" s="1"/>
    </row>
    <row r="31" spans="5:35" x14ac:dyDescent="0.25">
      <c r="O31" s="1"/>
      <c r="R31" t="s">
        <v>63</v>
      </c>
    </row>
    <row r="33" spans="5:22" x14ac:dyDescent="0.25">
      <c r="R33">
        <f>(1/1000000000000)</f>
        <v>9.9999999999999998E-13</v>
      </c>
    </row>
    <row r="34" spans="5:22" x14ac:dyDescent="0.25">
      <c r="R34">
        <f>$R$33/($V$34*U34)</f>
        <v>2.631509697113234E-11</v>
      </c>
      <c r="S34">
        <v>2.631509697113234E-11</v>
      </c>
      <c r="T34" t="s">
        <v>19</v>
      </c>
      <c r="U34">
        <v>0.159</v>
      </c>
      <c r="V34">
        <v>0.23899999999999999</v>
      </c>
    </row>
    <row r="35" spans="5:22" x14ac:dyDescent="0.25">
      <c r="R35">
        <f t="shared" ref="R35:R44" si="2">$R$33/($V$34*U35)</f>
        <v>4.1841004184100416E-12</v>
      </c>
      <c r="S35">
        <v>4.1841004184100416E-12</v>
      </c>
      <c r="T35" s="4" t="s">
        <v>24</v>
      </c>
      <c r="U35">
        <v>1</v>
      </c>
    </row>
    <row r="36" spans="5:22" x14ac:dyDescent="0.25">
      <c r="R36">
        <f t="shared" si="2"/>
        <v>1.4774365884216248E-11</v>
      </c>
      <c r="S36">
        <v>1.4774365884216248E-11</v>
      </c>
      <c r="T36" s="4" t="s">
        <v>20</v>
      </c>
      <c r="U36">
        <v>0.28320000000000001</v>
      </c>
    </row>
    <row r="37" spans="5:22" x14ac:dyDescent="0.25">
      <c r="R37">
        <f t="shared" si="2"/>
        <v>1.1054426468718737E-9</v>
      </c>
      <c r="S37">
        <v>1.1054426468718737E-9</v>
      </c>
      <c r="T37" s="4" t="s">
        <v>41</v>
      </c>
      <c r="U37">
        <v>3.7850000000000002E-3</v>
      </c>
    </row>
    <row r="38" spans="5:22" x14ac:dyDescent="0.25">
      <c r="R38">
        <f t="shared" si="2"/>
        <v>9.2039164505280292E-10</v>
      </c>
      <c r="S38">
        <v>9.2039164505280292E-10</v>
      </c>
      <c r="T38" s="4" t="s">
        <v>42</v>
      </c>
      <c r="U38">
        <v>4.5459999999999997E-3</v>
      </c>
    </row>
    <row r="39" spans="5:22" x14ac:dyDescent="0.25">
      <c r="R39">
        <f t="shared" si="2"/>
        <v>4.1841004184100421E-9</v>
      </c>
      <c r="S39">
        <v>4.1841004184100421E-9</v>
      </c>
      <c r="T39" s="7" t="s">
        <v>23</v>
      </c>
      <c r="U39">
        <v>1E-3</v>
      </c>
    </row>
    <row r="40" spans="5:22" x14ac:dyDescent="0.25">
      <c r="R40">
        <f t="shared" si="2"/>
        <v>4.1841004184100426E-6</v>
      </c>
      <c r="S40">
        <v>4.1841004184100426E-6</v>
      </c>
      <c r="T40" s="7" t="s">
        <v>28</v>
      </c>
      <c r="U40">
        <v>9.9999999999999995E-7</v>
      </c>
    </row>
    <row r="41" spans="5:22" x14ac:dyDescent="0.25">
      <c r="R41">
        <f t="shared" si="2"/>
        <v>9.2242072716270763E-8</v>
      </c>
      <c r="S41">
        <v>9.2242072716270763E-8</v>
      </c>
      <c r="T41" s="7" t="s">
        <v>29</v>
      </c>
      <c r="U41">
        <v>4.5359999999999999E-5</v>
      </c>
    </row>
    <row r="42" spans="5:22" x14ac:dyDescent="0.25">
      <c r="R42">
        <f t="shared" si="2"/>
        <v>4.11820907323823E-12</v>
      </c>
      <c r="S42">
        <v>4.11820907323823E-12</v>
      </c>
      <c r="T42" s="7" t="s">
        <v>43</v>
      </c>
      <c r="U42">
        <v>1.016</v>
      </c>
    </row>
    <row r="43" spans="5:22" x14ac:dyDescent="0.25">
      <c r="R43">
        <f t="shared" si="2"/>
        <v>4.1841004184100416E-12</v>
      </c>
      <c r="S43">
        <v>4.1841004184100416E-12</v>
      </c>
      <c r="T43" s="7" t="s">
        <v>31</v>
      </c>
      <c r="U43">
        <v>1</v>
      </c>
    </row>
    <row r="44" spans="5:22" x14ac:dyDescent="0.25">
      <c r="R44">
        <f t="shared" si="2"/>
        <v>4.6126120807077963E-12</v>
      </c>
      <c r="S44">
        <v>4.6126120807077963E-12</v>
      </c>
      <c r="T44" s="7" t="s">
        <v>32</v>
      </c>
      <c r="U44">
        <v>0.90710000000000002</v>
      </c>
    </row>
    <row r="45" spans="5:22" x14ac:dyDescent="0.25">
      <c r="E45" s="1"/>
    </row>
    <row r="47" spans="5:22" x14ac:dyDescent="0.25">
      <c r="R47" t="s">
        <v>64</v>
      </c>
    </row>
    <row r="49" spans="18:21" x14ac:dyDescent="0.25">
      <c r="R49">
        <v>2.9309999999999999E-2</v>
      </c>
    </row>
    <row r="50" spans="18:21" x14ac:dyDescent="0.25">
      <c r="R50">
        <f>$R$49/U50</f>
        <v>0.18433962264150944</v>
      </c>
      <c r="S50">
        <v>0.18433962264150944</v>
      </c>
      <c r="T50" t="s">
        <v>19</v>
      </c>
      <c r="U50">
        <v>0.159</v>
      </c>
    </row>
    <row r="51" spans="18:21" x14ac:dyDescent="0.25">
      <c r="R51">
        <f t="shared" ref="R51:R60" si="3">$R$49/U51</f>
        <v>2.9309999999999999E-2</v>
      </c>
      <c r="S51">
        <v>2.9309999999999999E-2</v>
      </c>
      <c r="T51" s="4" t="s">
        <v>24</v>
      </c>
      <c r="U51">
        <v>1</v>
      </c>
    </row>
    <row r="52" spans="18:21" x14ac:dyDescent="0.25">
      <c r="R52">
        <f t="shared" si="3"/>
        <v>0.10349576271186441</v>
      </c>
      <c r="S52">
        <v>0.10349576271186441</v>
      </c>
      <c r="T52" s="4" t="s">
        <v>20</v>
      </c>
      <c r="U52">
        <v>0.28320000000000001</v>
      </c>
    </row>
    <row r="53" spans="18:21" x14ac:dyDescent="0.25">
      <c r="R53">
        <f t="shared" si="3"/>
        <v>7.7437252311756932</v>
      </c>
      <c r="S53">
        <v>7.7437252311756932</v>
      </c>
      <c r="T53" s="4" t="s">
        <v>41</v>
      </c>
      <c r="U53">
        <v>3.7850000000000002E-3</v>
      </c>
    </row>
    <row r="54" spans="18:21" x14ac:dyDescent="0.25">
      <c r="R54">
        <f t="shared" si="3"/>
        <v>6.4474263088429389</v>
      </c>
      <c r="S54">
        <v>6.4474263088429389</v>
      </c>
      <c r="T54" s="4" t="s">
        <v>42</v>
      </c>
      <c r="U54">
        <v>4.5459999999999997E-3</v>
      </c>
    </row>
    <row r="55" spans="18:21" x14ac:dyDescent="0.25">
      <c r="R55">
        <f t="shared" si="3"/>
        <v>29.31</v>
      </c>
      <c r="S55">
        <v>29.31</v>
      </c>
      <c r="T55" s="7" t="s">
        <v>23</v>
      </c>
      <c r="U55">
        <v>1E-3</v>
      </c>
    </row>
    <row r="56" spans="18:21" x14ac:dyDescent="0.25">
      <c r="R56">
        <f t="shared" si="3"/>
        <v>29310</v>
      </c>
      <c r="S56">
        <v>29310</v>
      </c>
      <c r="T56" s="7" t="s">
        <v>28</v>
      </c>
      <c r="U56">
        <v>9.9999999999999995E-7</v>
      </c>
    </row>
    <row r="57" spans="18:21" x14ac:dyDescent="0.25">
      <c r="R57">
        <f t="shared" si="3"/>
        <v>646.16402116402116</v>
      </c>
      <c r="S57">
        <v>646.16402116402116</v>
      </c>
      <c r="T57" s="7" t="s">
        <v>29</v>
      </c>
      <c r="U57">
        <v>4.5359999999999999E-5</v>
      </c>
    </row>
    <row r="58" spans="18:21" x14ac:dyDescent="0.25">
      <c r="R58">
        <f t="shared" si="3"/>
        <v>2.8848425196850394E-2</v>
      </c>
      <c r="S58">
        <v>2.8848425196850394E-2</v>
      </c>
      <c r="T58" s="7" t="s">
        <v>43</v>
      </c>
      <c r="U58">
        <v>1.016</v>
      </c>
    </row>
    <row r="59" spans="18:21" x14ac:dyDescent="0.25">
      <c r="R59">
        <f t="shared" si="3"/>
        <v>2.9309999999999999E-2</v>
      </c>
      <c r="S59">
        <v>2.9309999999999999E-2</v>
      </c>
      <c r="T59" s="7" t="s">
        <v>31</v>
      </c>
      <c r="U59">
        <v>1</v>
      </c>
    </row>
    <row r="60" spans="18:21" x14ac:dyDescent="0.25">
      <c r="R60">
        <f t="shared" si="3"/>
        <v>3.2311762760445374E-2</v>
      </c>
      <c r="S60">
        <v>3.2311762760445374E-2</v>
      </c>
      <c r="T60" s="7" t="s">
        <v>32</v>
      </c>
      <c r="U60">
        <v>0.90710000000000002</v>
      </c>
    </row>
    <row r="62" spans="18:21" x14ac:dyDescent="0.25">
      <c r="R62" t="s">
        <v>65</v>
      </c>
    </row>
    <row r="64" spans="18:21" x14ac:dyDescent="0.25">
      <c r="R64">
        <v>4.1869999999999997E-2</v>
      </c>
    </row>
    <row r="65" spans="18:21" x14ac:dyDescent="0.25">
      <c r="R65">
        <f>$R$64/U65</f>
        <v>0.26333333333333331</v>
      </c>
      <c r="S65">
        <v>0.26333333333333331</v>
      </c>
      <c r="T65" t="s">
        <v>19</v>
      </c>
      <c r="U65">
        <v>0.159</v>
      </c>
    </row>
    <row r="66" spans="18:21" x14ac:dyDescent="0.25">
      <c r="R66">
        <f t="shared" ref="R66:R75" si="4">$R$64/U66</f>
        <v>4.1869999999999997E-2</v>
      </c>
      <c r="S66">
        <v>4.1869999999999997E-2</v>
      </c>
      <c r="T66" s="4" t="s">
        <v>24</v>
      </c>
      <c r="U66">
        <v>1</v>
      </c>
    </row>
    <row r="67" spans="18:21" x14ac:dyDescent="0.25">
      <c r="R67">
        <f t="shared" si="4"/>
        <v>0.14784604519774011</v>
      </c>
      <c r="S67">
        <v>0.14784604519774011</v>
      </c>
      <c r="T67" s="4" t="s">
        <v>20</v>
      </c>
      <c r="U67">
        <v>0.28320000000000001</v>
      </c>
    </row>
    <row r="68" spans="18:21" x14ac:dyDescent="0.25">
      <c r="R68">
        <f t="shared" si="4"/>
        <v>11.062087186261557</v>
      </c>
      <c r="S68">
        <v>11.062087186261557</v>
      </c>
      <c r="T68" s="4" t="s">
        <v>41</v>
      </c>
      <c r="U68">
        <v>3.7850000000000002E-3</v>
      </c>
    </row>
    <row r="69" spans="18:21" x14ac:dyDescent="0.25">
      <c r="R69">
        <f t="shared" si="4"/>
        <v>9.2102947646282445</v>
      </c>
      <c r="S69">
        <v>9.2102947646282445</v>
      </c>
      <c r="T69" s="4" t="s">
        <v>42</v>
      </c>
      <c r="U69">
        <v>4.5459999999999997E-3</v>
      </c>
    </row>
    <row r="70" spans="18:21" x14ac:dyDescent="0.25">
      <c r="R70">
        <f t="shared" si="4"/>
        <v>41.87</v>
      </c>
      <c r="S70">
        <v>41.87</v>
      </c>
      <c r="T70" s="7" t="s">
        <v>23</v>
      </c>
      <c r="U70">
        <v>1E-3</v>
      </c>
    </row>
    <row r="71" spans="18:21" x14ac:dyDescent="0.25">
      <c r="R71">
        <f t="shared" si="4"/>
        <v>41870</v>
      </c>
      <c r="S71">
        <v>41870</v>
      </c>
      <c r="T71" s="7" t="s">
        <v>28</v>
      </c>
      <c r="U71">
        <v>9.9999999999999995E-7</v>
      </c>
    </row>
    <row r="72" spans="18:21" x14ac:dyDescent="0.25">
      <c r="R72">
        <f t="shared" si="4"/>
        <v>923.05996472663139</v>
      </c>
      <c r="S72">
        <v>923.05996472663139</v>
      </c>
      <c r="T72" s="7" t="s">
        <v>29</v>
      </c>
      <c r="U72">
        <v>4.5359999999999999E-5</v>
      </c>
    </row>
    <row r="73" spans="18:21" x14ac:dyDescent="0.25">
      <c r="R73">
        <f t="shared" si="4"/>
        <v>4.1210629921259838E-2</v>
      </c>
      <c r="S73">
        <v>4.1210629921259838E-2</v>
      </c>
      <c r="T73" s="7" t="s">
        <v>43</v>
      </c>
      <c r="U73">
        <v>1.016</v>
      </c>
    </row>
    <row r="74" spans="18:21" x14ac:dyDescent="0.25">
      <c r="R74">
        <f t="shared" si="4"/>
        <v>4.1869999999999997E-2</v>
      </c>
      <c r="S74">
        <v>4.1869999999999997E-2</v>
      </c>
      <c r="T74" s="7" t="s">
        <v>31</v>
      </c>
      <c r="U74">
        <v>1</v>
      </c>
    </row>
    <row r="75" spans="18:21" x14ac:dyDescent="0.25">
      <c r="R75">
        <f t="shared" si="4"/>
        <v>4.6158086208797265E-2</v>
      </c>
      <c r="S75">
        <v>4.6158086208797265E-2</v>
      </c>
      <c r="T75" s="7" t="s">
        <v>32</v>
      </c>
      <c r="U75">
        <v>0.90710000000000002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9759-E895-4DFF-88BE-5192D35743A1}">
  <sheetPr codeName="Sheet1"/>
  <dimension ref="A1:I95"/>
  <sheetViews>
    <sheetView tabSelected="1" topLeftCell="A49" zoomScaleNormal="100" workbookViewId="0">
      <selection activeCell="I18" sqref="I18"/>
    </sheetView>
  </sheetViews>
  <sheetFormatPr defaultColWidth="8.7265625" defaultRowHeight="12.5" x14ac:dyDescent="0.25"/>
  <cols>
    <col min="1" max="1" width="38.7265625" style="5" customWidth="1"/>
    <col min="2" max="2" width="24.54296875" style="5" customWidth="1"/>
    <col min="3" max="3" width="24.453125" style="5" customWidth="1"/>
    <col min="4" max="4" width="26.81640625" style="5" customWidth="1"/>
    <col min="5" max="5" width="24.453125" style="5" customWidth="1"/>
    <col min="6" max="7" width="19.453125" style="5" customWidth="1"/>
    <col min="8" max="8" width="25.54296875" style="5" customWidth="1"/>
    <col min="9" max="16384" width="8.7265625" style="5"/>
  </cols>
  <sheetData>
    <row r="1" spans="1:8" ht="14.5" thickBot="1" x14ac:dyDescent="0.3">
      <c r="A1" s="199" t="str">
        <f>IF('Instructions 说明'!L2="English","Suppliers Data",IF('Instructions 说明'!L2="Chinese","供应商数据"))</f>
        <v>Suppliers Data</v>
      </c>
      <c r="B1" s="200"/>
      <c r="C1" s="200"/>
      <c r="D1" s="200"/>
      <c r="E1" s="200"/>
      <c r="F1" s="200"/>
      <c r="G1" s="200"/>
      <c r="H1" s="201"/>
    </row>
    <row r="2" spans="1:8" x14ac:dyDescent="0.25">
      <c r="A2" s="87" t="str">
        <f>IF('Instructions 说明'!L2="English","Suppliers Name",IF('Instructions 说明'!L2="Chinese","供应商名称"))</f>
        <v>Suppliers Name</v>
      </c>
      <c r="B2" s="209" t="s">
        <v>101</v>
      </c>
      <c r="C2" s="209"/>
      <c r="D2" s="88" t="str">
        <f>IF('Instructions 说明'!L2="English","Supplier's Contact Details ",IF('Instructions 说明'!L2="Chinese","供应商联系方式"))</f>
        <v xml:space="preserve">Supplier's Contact Details </v>
      </c>
      <c r="E2" s="202" t="s">
        <v>101</v>
      </c>
      <c r="F2" s="202"/>
      <c r="G2" s="202"/>
      <c r="H2" s="203"/>
    </row>
    <row r="3" spans="1:8" x14ac:dyDescent="0.25">
      <c r="A3" s="12"/>
      <c r="B3" s="13"/>
      <c r="C3" s="13"/>
      <c r="D3" s="13" t="str">
        <f>IF('Instructions 说明'!L2="English","Supplier's POC ",IF('Instructions 说明'!L2="Chinese", "供应商负责人"))</f>
        <v xml:space="preserve">Supplier's POC </v>
      </c>
      <c r="E3" s="204" t="s">
        <v>102</v>
      </c>
      <c r="F3" s="205"/>
      <c r="G3" s="205"/>
      <c r="H3" s="206"/>
    </row>
    <row r="4" spans="1:8" x14ac:dyDescent="0.25">
      <c r="A4" s="12"/>
      <c r="B4" s="13"/>
      <c r="C4" s="13"/>
      <c r="D4" s="13" t="str">
        <f>IF('Instructions 说明'!L2="English","Supplier's POC Role",IF('Instructions 说明'!L2="Chinese", "供应商负责人角色"))</f>
        <v>Supplier's POC Role</v>
      </c>
      <c r="E4" s="207" t="s">
        <v>103</v>
      </c>
      <c r="F4" s="207"/>
      <c r="G4" s="207"/>
      <c r="H4" s="208"/>
    </row>
    <row r="5" spans="1:8" ht="13" thickBot="1" x14ac:dyDescent="0.3"/>
    <row r="6" spans="1:8" ht="14.5" thickBot="1" x14ac:dyDescent="0.35">
      <c r="A6" s="178" t="str">
        <f>IF('Instructions 说明'!L2="English","Global Questions",IF('Instructions 说明'!L2="Chinese", "全球问题"))</f>
        <v>Global Questions</v>
      </c>
      <c r="B6" s="179"/>
      <c r="C6" s="179"/>
      <c r="D6" s="179"/>
      <c r="E6" s="179"/>
      <c r="F6" s="179"/>
      <c r="G6" s="179"/>
      <c r="H6" s="180"/>
    </row>
    <row r="7" spans="1:8" x14ac:dyDescent="0.25">
      <c r="A7" s="5" t="str">
        <f>IF('Instructions 说明'!L2="English","Initial date for Energy Base Line",IF('Instructions 说明'!L2="Chinese", "能量基准线的初始日期"))</f>
        <v>Initial date for Energy Base Line</v>
      </c>
      <c r="B7" s="14">
        <v>44562</v>
      </c>
    </row>
    <row r="8" spans="1:8" ht="13" thickBot="1" x14ac:dyDescent="0.3">
      <c r="A8" s="5" t="str">
        <f>IF('Instructions 说明'!L2="English","End date for Energy Base Line ",IF('Instructions 说明'!L2="Chinese", "能量基准线的结束日期"))</f>
        <v xml:space="preserve">End date for Energy Base Line </v>
      </c>
      <c r="B8" s="14">
        <v>44926</v>
      </c>
    </row>
    <row r="9" spans="1:8" ht="13" thickBot="1" x14ac:dyDescent="0.3">
      <c r="B9" s="167"/>
      <c r="C9" s="167"/>
      <c r="E9" s="196" t="str">
        <f>IF('Instructions 说明'!L2="English","Total=electricity+steam+heat+cooling+fuels",IF('Instructions 说明'!L2="Chinese", "总计=电力+蒸汽+热能+冷能+燃料"))</f>
        <v>Total=electricity+steam+heat+cooling+fuels</v>
      </c>
      <c r="F9" s="197"/>
      <c r="G9" s="197"/>
      <c r="H9" s="198"/>
    </row>
    <row r="10" spans="1:8" ht="25" x14ac:dyDescent="0.25">
      <c r="A10" s="8" t="str">
        <f>IF('Instructions 说明'!L2="English","Are you using renewable energy (RE)?",IF('Instructions 说明'!L2="Chinese", "您在使用可再生能源吗:"))</f>
        <v>Are you using renewable energy (RE)?</v>
      </c>
      <c r="B10" s="193" t="str">
        <f>IF('Instructions 说明'!L2="English","Future Global RE strategies",IF('Instructions 说明'!L2="Chinese", "未来的全球可再生能源战略"))</f>
        <v>Future Global RE strategies</v>
      </c>
      <c r="C10" s="193"/>
      <c r="D10" s="98" t="str">
        <f>IF('Instructions 说明'!L2="English","RE100
Member?",IF('Instructions 说明'!L2="Chinese", "是RE100成员吗？"))</f>
        <v>RE100
Member?</v>
      </c>
      <c r="E10" s="98" t="str">
        <f>IF('Instructions 说明'!L2="English"," Consumption
of RE in (MWH)",IF('Instructions 说明'!L2="Chinese", "可再生能源消耗量 （单位兆瓦时）"))</f>
        <v xml:space="preserve"> Consumption
of RE in (MWH)</v>
      </c>
      <c r="F10" s="98" t="str">
        <f>IF('Instructions 说明'!L2="English"," Consumption
of non-RE in (MWH)",IF('Instructions 说明'!L2="Chinese", "非可再生能源消耗量 （单位兆瓦时）"))</f>
        <v xml:space="preserve"> Consumption
of non-RE in (MWH)</v>
      </c>
      <c r="G10" s="98" t="str">
        <f>IF('Instructions 说明'!L2="English"," Total Consumption in MWH",IF('Instructions 说明'!L2="Chinese", "总消耗量 （单位兆瓦时）"))</f>
        <v xml:space="preserve"> Total Consumption in MWH</v>
      </c>
      <c r="H10" s="99" t="str">
        <f>IF('Instructions 说明'!L2="English","RE Usage",IF('Instructions 说明'!L2="Chinese", "可再生能源使用"))</f>
        <v>RE Usage</v>
      </c>
    </row>
    <row r="11" spans="1:8" ht="13" thickBot="1" x14ac:dyDescent="0.3">
      <c r="A11" s="15"/>
      <c r="B11" s="194"/>
      <c r="C11" s="195"/>
      <c r="D11" s="16"/>
      <c r="E11" s="17">
        <f>SUM(B18,B27,B36,B44,B52)</f>
        <v>0</v>
      </c>
      <c r="F11" s="17">
        <f>SUM(C18,C27,C36,C44,C52)</f>
        <v>0</v>
      </c>
      <c r="G11" s="17">
        <f>SUM(E11,F11)</f>
        <v>0</v>
      </c>
      <c r="H11" s="18" t="e">
        <f>E11/G11</f>
        <v>#DIV/0!</v>
      </c>
    </row>
    <row r="12" spans="1:8" x14ac:dyDescent="0.25">
      <c r="A12" s="13"/>
      <c r="B12" s="13"/>
      <c r="C12" s="13"/>
      <c r="D12" s="19"/>
      <c r="E12" s="19"/>
      <c r="F12" s="19"/>
      <c r="G12" s="19"/>
      <c r="H12" s="20"/>
    </row>
    <row r="13" spans="1:8" ht="13" thickBot="1" x14ac:dyDescent="0.3">
      <c r="A13" s="13"/>
      <c r="B13" s="13"/>
      <c r="C13" s="13"/>
      <c r="D13" s="19"/>
      <c r="E13" s="19"/>
      <c r="F13" s="19"/>
      <c r="G13" s="19"/>
      <c r="H13" s="20"/>
    </row>
    <row r="14" spans="1:8" ht="14.5" thickBot="1" x14ac:dyDescent="0.35">
      <c r="A14" s="178" t="str">
        <f>IF('Instructions 说明'!L2="English","Global Questions by Energy Carrier",IF('Instructions 说明'!L2="Chinese", "能源载体的全球问题"))</f>
        <v>Global Questions by Energy Carrier</v>
      </c>
      <c r="B14" s="179"/>
      <c r="C14" s="179"/>
      <c r="D14" s="179"/>
      <c r="E14" s="179"/>
      <c r="F14" s="179"/>
      <c r="G14" s="179"/>
      <c r="H14" s="180"/>
    </row>
    <row r="15" spans="1:8" ht="13" thickBot="1" x14ac:dyDescent="0.3"/>
    <row r="16" spans="1:8" ht="25" customHeight="1" x14ac:dyDescent="0.25">
      <c r="A16" s="221" t="str">
        <f>IF('Instructions 说明'!L2="English","Energy Carrier",IF('Instructions 说明'!L2="Chinese", "能源载体"))</f>
        <v>Energy Carrier</v>
      </c>
      <c r="B16" s="210" t="str">
        <f>IF('Instructions 说明'!L2="English"," Consumption
of RE in (MWH)",IF('Instructions 说明'!L2="Chinese", "可再生能源消耗量 （单位兆瓦时）"))</f>
        <v xml:space="preserve"> Consumption
of RE in (MWH)</v>
      </c>
      <c r="C16" s="210" t="str">
        <f>IF('Instructions 说明'!L2="English","Consumption
of non-RE in (MWH)",IF('Instructions 说明'!L2="Chinese", "非可再生能源消耗量 （单位兆瓦时）"))</f>
        <v>Consumption
of non-RE in (MWH)</v>
      </c>
      <c r="D16" s="211" t="str">
        <f>IF('Instructions 说明'!L2="English","Procurement Strategies: Only required for RE",IF('Instructions 说明'!L2="Chinese", "采购策略：仅可再生能源需要"))</f>
        <v>Procurement Strategies: Only required for RE</v>
      </c>
      <c r="E16" s="211"/>
      <c r="F16" s="211"/>
      <c r="G16" s="212"/>
      <c r="H16" s="213"/>
    </row>
    <row r="17" spans="1:9" ht="35.15" customHeight="1" x14ac:dyDescent="0.25">
      <c r="A17" s="222"/>
      <c r="B17" s="193"/>
      <c r="C17" s="193"/>
      <c r="D17" s="2" t="str">
        <f>IF('Instructions 说明'!L2="English","Procurement Method",IF('Instructions 说明'!L2="Chinese", "采购方法"))</f>
        <v>Procurement Method</v>
      </c>
      <c r="E17" s="2" t="str">
        <f>IF('Instructions 说明'!L2="English","Actual RE Source",IF('Instructions 说明'!L2="Chinese", "实际可再生能源来源"))</f>
        <v>Actual RE Source</v>
      </c>
      <c r="F17" s="2" t="str">
        <f>IF('Instructions 说明'!L2="English","RE Usage %",IF('Instructions 说明'!L2="Chinese", "可再生能源使用%"))</f>
        <v>RE Usage %</v>
      </c>
      <c r="G17" s="143" t="str">
        <f>IF('Instructions 说明'!L2="English","Site where energy is being used",IF('Instructions 说明'!L2="Chinese", "能源使用的工厂"))</f>
        <v>Site where energy is being used</v>
      </c>
      <c r="H17" s="11" t="str">
        <f>IF('Instructions 说明'!L2="English","EACs Applicable to energy market",IF('Instructions 说明'!L2="Chinese", "适用于能源市场的能源属性证书"))</f>
        <v>EACs Applicable to energy market</v>
      </c>
    </row>
    <row r="18" spans="1:9" x14ac:dyDescent="0.25">
      <c r="A18" s="174" t="str">
        <f>IF('Instructions 说明'!L2="English","Electricity",IF('Instructions 说明'!L2="Chinese", "电力"))</f>
        <v>Electricity</v>
      </c>
      <c r="B18" s="192">
        <v>0</v>
      </c>
      <c r="C18" s="192">
        <v>0</v>
      </c>
      <c r="D18" s="21"/>
      <c r="E18" s="21"/>
      <c r="F18" s="25"/>
      <c r="G18" s="144"/>
      <c r="H18" s="22"/>
      <c r="I18" s="23"/>
    </row>
    <row r="19" spans="1:9" x14ac:dyDescent="0.25">
      <c r="A19" s="175"/>
      <c r="B19" s="192"/>
      <c r="C19" s="192"/>
      <c r="D19" s="21"/>
      <c r="E19" s="21"/>
      <c r="F19" s="25"/>
      <c r="G19" s="144"/>
      <c r="H19" s="22"/>
    </row>
    <row r="20" spans="1:9" x14ac:dyDescent="0.25">
      <c r="A20" s="175"/>
      <c r="B20" s="192"/>
      <c r="C20" s="192"/>
      <c r="D20" s="21"/>
      <c r="E20" s="21"/>
      <c r="F20" s="25"/>
      <c r="G20" s="144"/>
      <c r="H20" s="22"/>
    </row>
    <row r="21" spans="1:9" x14ac:dyDescent="0.25">
      <c r="A21" s="175"/>
      <c r="B21" s="192"/>
      <c r="C21" s="192"/>
      <c r="D21" s="21"/>
      <c r="E21" s="21"/>
      <c r="F21" s="25"/>
      <c r="G21" s="144"/>
      <c r="H21" s="22"/>
    </row>
    <row r="22" spans="1:9" x14ac:dyDescent="0.25">
      <c r="A22" s="175"/>
      <c r="B22" s="192"/>
      <c r="C22" s="192"/>
      <c r="D22" s="21"/>
      <c r="E22" s="21"/>
      <c r="F22" s="25"/>
      <c r="G22" s="144"/>
      <c r="H22" s="22"/>
    </row>
    <row r="23" spans="1:9" x14ac:dyDescent="0.25">
      <c r="A23" s="175"/>
      <c r="B23" s="192"/>
      <c r="C23" s="192"/>
      <c r="D23" s="21"/>
      <c r="E23" s="21"/>
      <c r="F23" s="25"/>
      <c r="G23" s="144"/>
      <c r="H23" s="22"/>
    </row>
    <row r="24" spans="1:9" x14ac:dyDescent="0.25">
      <c r="A24" s="175"/>
      <c r="B24" s="192"/>
      <c r="C24" s="192"/>
      <c r="D24" s="21"/>
      <c r="E24" s="21"/>
      <c r="F24" s="25"/>
      <c r="G24" s="144"/>
      <c r="H24" s="22"/>
    </row>
    <row r="25" spans="1:9" x14ac:dyDescent="0.25">
      <c r="A25" s="175"/>
      <c r="B25" s="192"/>
      <c r="C25" s="192"/>
      <c r="D25" s="21"/>
      <c r="E25" s="21"/>
      <c r="F25" s="25"/>
      <c r="G25" s="144"/>
      <c r="H25" s="22"/>
    </row>
    <row r="26" spans="1:9" x14ac:dyDescent="0.25">
      <c r="A26" s="176"/>
      <c r="B26" s="192"/>
      <c r="C26" s="192"/>
      <c r="D26" s="21"/>
      <c r="E26" s="21"/>
      <c r="F26" s="25"/>
      <c r="G26" s="144"/>
      <c r="H26" s="22"/>
    </row>
    <row r="27" spans="1:9" x14ac:dyDescent="0.25">
      <c r="A27" s="174" t="str">
        <f>IF('Instructions 说明'!L2="English","Fuels for electricity generation",IF('Instructions 说明'!L2="Chinese", "发电燃料"))</f>
        <v>Fuels for electricity generation</v>
      </c>
      <c r="B27" s="192">
        <v>0</v>
      </c>
      <c r="C27" s="192">
        <v>0</v>
      </c>
      <c r="D27" s="21"/>
      <c r="E27" s="21"/>
      <c r="F27" s="25"/>
      <c r="G27" s="144"/>
      <c r="H27" s="22"/>
    </row>
    <row r="28" spans="1:9" x14ac:dyDescent="0.25">
      <c r="A28" s="175"/>
      <c r="B28" s="192"/>
      <c r="C28" s="192"/>
      <c r="D28" s="21"/>
      <c r="E28" s="21"/>
      <c r="F28" s="25"/>
      <c r="G28" s="144"/>
      <c r="H28" s="22"/>
    </row>
    <row r="29" spans="1:9" x14ac:dyDescent="0.25">
      <c r="A29" s="175"/>
      <c r="B29" s="192"/>
      <c r="C29" s="192"/>
      <c r="D29" s="21"/>
      <c r="E29" s="21"/>
      <c r="F29" s="25"/>
      <c r="G29" s="144"/>
      <c r="H29" s="22"/>
    </row>
    <row r="30" spans="1:9" x14ac:dyDescent="0.25">
      <c r="A30" s="175"/>
      <c r="B30" s="192"/>
      <c r="C30" s="192"/>
      <c r="D30" s="21"/>
      <c r="E30" s="21"/>
      <c r="F30" s="25"/>
      <c r="G30" s="144"/>
      <c r="H30" s="22"/>
    </row>
    <row r="31" spans="1:9" x14ac:dyDescent="0.25">
      <c r="A31" s="175"/>
      <c r="B31" s="192"/>
      <c r="C31" s="192"/>
      <c r="D31" s="21"/>
      <c r="E31" s="21"/>
      <c r="F31" s="25"/>
      <c r="G31" s="144"/>
      <c r="H31" s="22"/>
    </row>
    <row r="32" spans="1:9" x14ac:dyDescent="0.25">
      <c r="A32" s="175"/>
      <c r="B32" s="192"/>
      <c r="C32" s="192"/>
      <c r="D32" s="21"/>
      <c r="E32" s="21"/>
      <c r="F32" s="25"/>
      <c r="G32" s="144"/>
      <c r="H32" s="22"/>
    </row>
    <row r="33" spans="1:8" x14ac:dyDescent="0.25">
      <c r="A33" s="175"/>
      <c r="B33" s="192"/>
      <c r="C33" s="192"/>
      <c r="D33" s="21"/>
      <c r="E33" s="21"/>
      <c r="F33" s="25"/>
      <c r="G33" s="144"/>
      <c r="H33" s="22"/>
    </row>
    <row r="34" spans="1:8" ht="13" thickBot="1" x14ac:dyDescent="0.3">
      <c r="A34" s="177"/>
      <c r="B34" s="192"/>
      <c r="C34" s="192"/>
      <c r="D34" s="21"/>
      <c r="E34" s="21"/>
      <c r="F34" s="25"/>
      <c r="G34" s="144"/>
      <c r="H34" s="22"/>
    </row>
    <row r="35" spans="1:8" ht="14.5" thickBot="1" x14ac:dyDescent="0.35">
      <c r="A35" s="178" t="str">
        <f>IF('Instructions 说明'!L2="English","Optional Energy Carriers",IF('Instructions 说明'!L2="Chinese", "可选能源载体"))</f>
        <v>Optional Energy Carriers</v>
      </c>
      <c r="B35" s="179"/>
      <c r="C35" s="179"/>
      <c r="D35" s="179"/>
      <c r="E35" s="179"/>
      <c r="F35" s="179"/>
      <c r="G35" s="179"/>
      <c r="H35" s="180"/>
    </row>
    <row r="36" spans="1:8" x14ac:dyDescent="0.25">
      <c r="A36" s="217" t="str">
        <f>IF('Instructions 说明'!L2="English","Steam",IF('Instructions 说明'!L2="Chinese", "蒸汽"))</f>
        <v>Steam</v>
      </c>
      <c r="B36" s="192">
        <v>0</v>
      </c>
      <c r="C36" s="192">
        <v>0</v>
      </c>
      <c r="D36" s="21"/>
      <c r="E36" s="21"/>
      <c r="F36" s="25"/>
      <c r="G36" s="144"/>
      <c r="H36" s="22"/>
    </row>
    <row r="37" spans="1:8" x14ac:dyDescent="0.25">
      <c r="A37" s="175"/>
      <c r="B37" s="192"/>
      <c r="C37" s="192"/>
      <c r="D37" s="21"/>
      <c r="E37" s="21"/>
      <c r="F37" s="25"/>
      <c r="G37" s="144"/>
      <c r="H37" s="22"/>
    </row>
    <row r="38" spans="1:8" x14ac:dyDescent="0.25">
      <c r="A38" s="175"/>
      <c r="B38" s="192"/>
      <c r="C38" s="192"/>
      <c r="D38" s="21"/>
      <c r="E38" s="21"/>
      <c r="F38" s="25"/>
      <c r="G38" s="144"/>
      <c r="H38" s="22"/>
    </row>
    <row r="39" spans="1:8" x14ac:dyDescent="0.25">
      <c r="A39" s="175"/>
      <c r="B39" s="192"/>
      <c r="C39" s="192"/>
      <c r="D39" s="21"/>
      <c r="E39" s="21"/>
      <c r="F39" s="25"/>
      <c r="G39" s="144"/>
      <c r="H39" s="22"/>
    </row>
    <row r="40" spans="1:8" x14ac:dyDescent="0.25">
      <c r="A40" s="175"/>
      <c r="B40" s="192"/>
      <c r="C40" s="192"/>
      <c r="D40" s="21"/>
      <c r="E40" s="21"/>
      <c r="F40" s="25"/>
      <c r="G40" s="144"/>
      <c r="H40" s="22"/>
    </row>
    <row r="41" spans="1:8" x14ac:dyDescent="0.25">
      <c r="A41" s="175"/>
      <c r="B41" s="192"/>
      <c r="C41" s="192"/>
      <c r="D41" s="21"/>
      <c r="E41" s="21"/>
      <c r="F41" s="25"/>
      <c r="G41" s="144"/>
      <c r="H41" s="22"/>
    </row>
    <row r="42" spans="1:8" x14ac:dyDescent="0.25">
      <c r="A42" s="175"/>
      <c r="B42" s="192"/>
      <c r="C42" s="192"/>
      <c r="D42" s="21"/>
      <c r="E42" s="21"/>
      <c r="F42" s="25"/>
      <c r="G42" s="144"/>
      <c r="H42" s="22"/>
    </row>
    <row r="43" spans="1:8" ht="13" thickBot="1" x14ac:dyDescent="0.3">
      <c r="A43" s="177"/>
      <c r="B43" s="192"/>
      <c r="C43" s="192"/>
      <c r="D43" s="21"/>
      <c r="E43" s="21"/>
      <c r="F43" s="25"/>
      <c r="G43" s="144"/>
      <c r="H43" s="22"/>
    </row>
    <row r="44" spans="1:8" x14ac:dyDescent="0.25">
      <c r="A44" s="217" t="str">
        <f>IF('Instructions 说明'!L2="English","Heat",IF('Instructions 说明'!L2="Chinese", "热能"))</f>
        <v>Heat</v>
      </c>
      <c r="B44" s="192">
        <v>0</v>
      </c>
      <c r="C44" s="192">
        <v>0</v>
      </c>
      <c r="D44" s="21"/>
      <c r="E44" s="21"/>
      <c r="F44" s="25"/>
      <c r="G44" s="144"/>
      <c r="H44" s="22"/>
    </row>
    <row r="45" spans="1:8" x14ac:dyDescent="0.25">
      <c r="A45" s="175"/>
      <c r="B45" s="192"/>
      <c r="C45" s="192"/>
      <c r="D45" s="21"/>
      <c r="E45" s="21"/>
      <c r="F45" s="25"/>
      <c r="G45" s="144"/>
      <c r="H45" s="22"/>
    </row>
    <row r="46" spans="1:8" x14ac:dyDescent="0.25">
      <c r="A46" s="175"/>
      <c r="B46" s="192"/>
      <c r="C46" s="192"/>
      <c r="D46" s="21"/>
      <c r="E46" s="21"/>
      <c r="F46" s="25"/>
      <c r="G46" s="144"/>
      <c r="H46" s="22"/>
    </row>
    <row r="47" spans="1:8" x14ac:dyDescent="0.25">
      <c r="A47" s="175"/>
      <c r="B47" s="192"/>
      <c r="C47" s="192"/>
      <c r="D47" s="21"/>
      <c r="E47" s="21"/>
      <c r="F47" s="25"/>
      <c r="G47" s="144"/>
      <c r="H47" s="22"/>
    </row>
    <row r="48" spans="1:8" x14ac:dyDescent="0.25">
      <c r="A48" s="175"/>
      <c r="B48" s="192"/>
      <c r="C48" s="192"/>
      <c r="D48" s="21"/>
      <c r="E48" s="21"/>
      <c r="F48" s="25"/>
      <c r="G48" s="144"/>
      <c r="H48" s="22"/>
    </row>
    <row r="49" spans="1:8" x14ac:dyDescent="0.25">
      <c r="A49" s="175"/>
      <c r="B49" s="192"/>
      <c r="C49" s="192"/>
      <c r="D49" s="21"/>
      <c r="E49" s="21"/>
      <c r="F49" s="25"/>
      <c r="G49" s="144"/>
      <c r="H49" s="22"/>
    </row>
    <row r="50" spans="1:8" x14ac:dyDescent="0.25">
      <c r="A50" s="175"/>
      <c r="B50" s="192"/>
      <c r="C50" s="192"/>
      <c r="D50" s="21"/>
      <c r="E50" s="21"/>
      <c r="F50" s="25"/>
      <c r="G50" s="144"/>
      <c r="H50" s="22"/>
    </row>
    <row r="51" spans="1:8" x14ac:dyDescent="0.25">
      <c r="A51" s="176"/>
      <c r="B51" s="192"/>
      <c r="C51" s="192"/>
      <c r="D51" s="21"/>
      <c r="E51" s="21"/>
      <c r="F51" s="25"/>
      <c r="G51" s="144"/>
      <c r="H51" s="22"/>
    </row>
    <row r="52" spans="1:8" x14ac:dyDescent="0.25">
      <c r="A52" s="218" t="str">
        <f>IF('Instructions 说明'!L2="English","Cooling",IF('Instructions 说明'!L2="Chinese", "冷能"))</f>
        <v>Cooling</v>
      </c>
      <c r="B52" s="192">
        <v>0</v>
      </c>
      <c r="C52" s="192">
        <v>0</v>
      </c>
      <c r="D52" s="21"/>
      <c r="E52" s="21"/>
      <c r="F52" s="25"/>
      <c r="G52" s="144"/>
      <c r="H52" s="22"/>
    </row>
    <row r="53" spans="1:8" x14ac:dyDescent="0.25">
      <c r="A53" s="219"/>
      <c r="B53" s="192"/>
      <c r="C53" s="192"/>
      <c r="D53" s="21"/>
      <c r="E53" s="21"/>
      <c r="F53" s="25"/>
      <c r="G53" s="144"/>
      <c r="H53" s="22"/>
    </row>
    <row r="54" spans="1:8" x14ac:dyDescent="0.25">
      <c r="A54" s="219"/>
      <c r="B54" s="192"/>
      <c r="C54" s="192"/>
      <c r="D54" s="21"/>
      <c r="E54" s="21"/>
      <c r="F54" s="25"/>
      <c r="G54" s="144"/>
      <c r="H54" s="22"/>
    </row>
    <row r="55" spans="1:8" x14ac:dyDescent="0.25">
      <c r="A55" s="219"/>
      <c r="B55" s="192"/>
      <c r="C55" s="192"/>
      <c r="D55" s="21"/>
      <c r="E55" s="21"/>
      <c r="F55" s="25"/>
      <c r="G55" s="144"/>
      <c r="H55" s="22"/>
    </row>
    <row r="56" spans="1:8" x14ac:dyDescent="0.25">
      <c r="A56" s="219"/>
      <c r="B56" s="192"/>
      <c r="C56" s="192"/>
      <c r="D56" s="21"/>
      <c r="E56" s="21"/>
      <c r="F56" s="25"/>
      <c r="G56" s="144"/>
      <c r="H56" s="22"/>
    </row>
    <row r="57" spans="1:8" x14ac:dyDescent="0.25">
      <c r="A57" s="219"/>
      <c r="B57" s="192"/>
      <c r="C57" s="192"/>
      <c r="D57" s="21"/>
      <c r="E57" s="21"/>
      <c r="F57" s="25"/>
      <c r="G57" s="144"/>
      <c r="H57" s="22"/>
    </row>
    <row r="58" spans="1:8" x14ac:dyDescent="0.25">
      <c r="A58" s="219"/>
      <c r="B58" s="192"/>
      <c r="C58" s="192"/>
      <c r="D58" s="21"/>
      <c r="E58" s="21"/>
      <c r="F58" s="25"/>
      <c r="G58" s="144"/>
      <c r="H58" s="22"/>
    </row>
    <row r="59" spans="1:8" ht="13" thickBot="1" x14ac:dyDescent="0.3">
      <c r="A59" s="220"/>
      <c r="B59" s="216"/>
      <c r="C59" s="216"/>
      <c r="D59" s="16"/>
      <c r="E59" s="16"/>
      <c r="F59" s="27"/>
      <c r="G59" s="145"/>
      <c r="H59" s="24"/>
    </row>
    <row r="61" spans="1:8" ht="13" thickBot="1" x14ac:dyDescent="0.3"/>
    <row r="62" spans="1:8" ht="14.5" thickBot="1" x14ac:dyDescent="0.35">
      <c r="A62" s="178" t="str">
        <f>IF('Instructions 说明'!L2="English","Global Renewable Energy Targets",IF('Instructions 说明'!L2="Chinese", "全球可再生能源目标"))</f>
        <v>Global Renewable Energy Targets</v>
      </c>
      <c r="B62" s="179"/>
      <c r="C62" s="179"/>
      <c r="D62" s="179"/>
      <c r="E62" s="179"/>
      <c r="F62" s="179"/>
      <c r="G62" s="179"/>
      <c r="H62" s="180"/>
    </row>
    <row r="64" spans="1:8" ht="13" thickBot="1" x14ac:dyDescent="0.3"/>
    <row r="65" spans="1:7" ht="37.5" x14ac:dyDescent="0.25">
      <c r="A65" s="8" t="str">
        <f>IF('Instructions 说明'!L2="English","Year",IF('Instructions 说明'!L2="Chinese","年"))</f>
        <v>Year</v>
      </c>
      <c r="B65" s="82" t="str">
        <f>IF('Instructions 说明'!L2="English","Renewable energy targets",IF('Instructions 说明'!L2="Chinese","可再生能源目标"))</f>
        <v>Renewable energy targets</v>
      </c>
      <c r="C65" s="82" t="str">
        <f>IF('Instructions 说明'!L2="English","Renewable energy consumption estimation",IF('Instructions 说明'!L2="Chinese","可再生能源消耗估算"))</f>
        <v>Renewable energy consumption estimation</v>
      </c>
      <c r="D65" s="84" t="str">
        <f>IF('Instructions 说明'!L2="English","Energy source planned to achieve target",IF('Instructions 说明'!L2="Chinese","计划实现目标的能源来源"))</f>
        <v>Energy source planned to achieve target</v>
      </c>
      <c r="E65" s="82" t="str">
        <f>IF('Instructions 说明'!L2="English","Procurement Method planned to achieve target",IF('Instructions 说明'!L2="Chinese","计划实现目标的采购方法"))</f>
        <v>Procurement Method planned to achieve target</v>
      </c>
      <c r="F65" s="83" t="str">
        <f>IF('Instructions 说明'!L2="English","Comments",IF('Instructions 说明'!L2="Chinese","评论"))</f>
        <v>Comments</v>
      </c>
      <c r="G65"/>
    </row>
    <row r="66" spans="1:7" x14ac:dyDescent="0.25">
      <c r="A66" s="174">
        <v>2025</v>
      </c>
      <c r="B66" s="189"/>
      <c r="C66" s="185"/>
      <c r="D66" s="21"/>
      <c r="E66" s="90"/>
      <c r="F66" s="181"/>
      <c r="G66" s="146"/>
    </row>
    <row r="67" spans="1:7" x14ac:dyDescent="0.25">
      <c r="A67" s="175"/>
      <c r="B67" s="190"/>
      <c r="C67" s="186"/>
      <c r="D67" s="21"/>
      <c r="E67" s="90"/>
      <c r="F67" s="182"/>
      <c r="G67" s="146"/>
    </row>
    <row r="68" spans="1:7" x14ac:dyDescent="0.25">
      <c r="A68" s="175"/>
      <c r="B68" s="190"/>
      <c r="C68" s="186"/>
      <c r="D68" s="21"/>
      <c r="E68" s="90"/>
      <c r="F68" s="182"/>
      <c r="G68" s="146"/>
    </row>
    <row r="69" spans="1:7" x14ac:dyDescent="0.25">
      <c r="A69" s="176"/>
      <c r="B69" s="191"/>
      <c r="C69" s="187"/>
      <c r="D69" s="21"/>
      <c r="E69" s="90"/>
      <c r="F69" s="183"/>
      <c r="G69" s="146"/>
    </row>
    <row r="70" spans="1:7" x14ac:dyDescent="0.25">
      <c r="A70" s="174">
        <v>2030</v>
      </c>
      <c r="B70" s="189"/>
      <c r="C70" s="185"/>
      <c r="D70" s="21"/>
      <c r="E70" s="90"/>
      <c r="F70" s="181"/>
      <c r="G70" s="146"/>
    </row>
    <row r="71" spans="1:7" x14ac:dyDescent="0.25">
      <c r="A71" s="175"/>
      <c r="B71" s="190"/>
      <c r="C71" s="186"/>
      <c r="D71" s="21"/>
      <c r="E71" s="90"/>
      <c r="F71" s="182"/>
      <c r="G71" s="146"/>
    </row>
    <row r="72" spans="1:7" x14ac:dyDescent="0.25">
      <c r="A72" s="175"/>
      <c r="B72" s="190"/>
      <c r="C72" s="186"/>
      <c r="D72" s="21"/>
      <c r="E72" s="90"/>
      <c r="F72" s="182"/>
      <c r="G72" s="146"/>
    </row>
    <row r="73" spans="1:7" x14ac:dyDescent="0.25">
      <c r="A73" s="176"/>
      <c r="B73" s="191"/>
      <c r="C73" s="187"/>
      <c r="D73" s="21"/>
      <c r="E73" s="90"/>
      <c r="F73" s="183"/>
      <c r="G73" s="146"/>
    </row>
    <row r="74" spans="1:7" x14ac:dyDescent="0.25">
      <c r="A74" s="174">
        <v>2040</v>
      </c>
      <c r="B74" s="189"/>
      <c r="C74" s="185"/>
      <c r="D74" s="21"/>
      <c r="E74" s="90"/>
      <c r="F74" s="181"/>
      <c r="G74" s="146"/>
    </row>
    <row r="75" spans="1:7" x14ac:dyDescent="0.25">
      <c r="A75" s="175"/>
      <c r="B75" s="190"/>
      <c r="C75" s="186"/>
      <c r="D75" s="21"/>
      <c r="E75" s="90"/>
      <c r="F75" s="182"/>
      <c r="G75" s="146"/>
    </row>
    <row r="76" spans="1:7" x14ac:dyDescent="0.25">
      <c r="A76" s="175"/>
      <c r="B76" s="190"/>
      <c r="C76" s="186"/>
      <c r="D76" s="21"/>
      <c r="E76" s="90"/>
      <c r="F76" s="182"/>
      <c r="G76" s="146"/>
    </row>
    <row r="77" spans="1:7" x14ac:dyDescent="0.25">
      <c r="A77" s="176"/>
      <c r="B77" s="191"/>
      <c r="C77" s="187"/>
      <c r="D77" s="21"/>
      <c r="E77" s="90"/>
      <c r="F77" s="183"/>
      <c r="G77" s="146"/>
    </row>
    <row r="78" spans="1:7" x14ac:dyDescent="0.25">
      <c r="A78" s="174">
        <v>2050</v>
      </c>
      <c r="B78" s="189"/>
      <c r="C78" s="185"/>
      <c r="D78" s="21"/>
      <c r="E78" s="90"/>
      <c r="F78" s="181"/>
      <c r="G78" s="146"/>
    </row>
    <row r="79" spans="1:7" x14ac:dyDescent="0.25">
      <c r="A79" s="175"/>
      <c r="B79" s="190"/>
      <c r="C79" s="186"/>
      <c r="D79" s="91"/>
      <c r="E79" s="92"/>
      <c r="F79" s="182"/>
      <c r="G79" s="146"/>
    </row>
    <row r="80" spans="1:7" x14ac:dyDescent="0.25">
      <c r="A80" s="175"/>
      <c r="B80" s="190"/>
      <c r="C80" s="186"/>
      <c r="D80" s="91"/>
      <c r="E80" s="92"/>
      <c r="F80" s="182"/>
      <c r="G80" s="146"/>
    </row>
    <row r="81" spans="1:8" x14ac:dyDescent="0.25">
      <c r="A81" s="176"/>
      <c r="B81" s="191"/>
      <c r="C81" s="187"/>
      <c r="D81" s="91"/>
      <c r="E81" s="92"/>
      <c r="F81" s="183"/>
      <c r="G81" s="146"/>
    </row>
    <row r="82" spans="1:8" x14ac:dyDescent="0.25">
      <c r="A82" s="174">
        <v>2050</v>
      </c>
      <c r="B82" s="214"/>
      <c r="C82" s="185"/>
      <c r="D82" s="21"/>
      <c r="E82" s="21"/>
      <c r="F82" s="181"/>
      <c r="G82" s="146"/>
    </row>
    <row r="83" spans="1:8" x14ac:dyDescent="0.25">
      <c r="A83" s="175"/>
      <c r="B83" s="214"/>
      <c r="C83" s="186"/>
      <c r="D83" s="21"/>
      <c r="E83" s="21"/>
      <c r="F83" s="182"/>
      <c r="G83" s="146"/>
    </row>
    <row r="84" spans="1:8" x14ac:dyDescent="0.25">
      <c r="A84" s="175"/>
      <c r="B84" s="214"/>
      <c r="C84" s="186"/>
      <c r="D84" s="21"/>
      <c r="E84" s="21"/>
      <c r="F84" s="182"/>
      <c r="G84" s="146"/>
    </row>
    <row r="85" spans="1:8" ht="13" thickBot="1" x14ac:dyDescent="0.3">
      <c r="A85" s="177"/>
      <c r="B85" s="215"/>
      <c r="C85" s="188"/>
      <c r="D85" s="16"/>
      <c r="E85" s="16"/>
      <c r="F85" s="184"/>
      <c r="G85" s="146"/>
    </row>
    <row r="87" spans="1:8" ht="13" thickBot="1" x14ac:dyDescent="0.3"/>
    <row r="88" spans="1:8" ht="14.5" thickBot="1" x14ac:dyDescent="0.35">
      <c r="A88" s="178" t="str">
        <f>IF('Instructions 说明'!L2="English","Optional Questions",IF('Instructions 说明'!L2="Chinese","可选问题"))</f>
        <v>Optional Questions</v>
      </c>
      <c r="B88" s="179"/>
      <c r="C88" s="179"/>
      <c r="D88" s="179"/>
      <c r="E88" s="179"/>
      <c r="F88" s="179"/>
      <c r="G88" s="179"/>
      <c r="H88" s="180"/>
    </row>
    <row r="89" spans="1:8" ht="13" thickBot="1" x14ac:dyDescent="0.3"/>
    <row r="90" spans="1:8" ht="50" x14ac:dyDescent="0.25">
      <c r="A90" s="8" t="str">
        <f>IF('Instructions 说明'!L2="English","What is the principal activity of your organization?",IF('Instructions 说明'!L2="Chinese","贵组织的主要活动是什么？"))</f>
        <v>What is the principal activity of your organization?</v>
      </c>
      <c r="B90" s="9" t="str">
        <f>IF('Instructions 说明'!L2="English","Which is the declared unit from your organization?",IF('Instructions 说明'!L2="Chinese","您所在组织申报单位是哪个？"))</f>
        <v>Which is the declared unit from your organization?</v>
      </c>
      <c r="C90" s="10" t="str">
        <f>IF('Instructions 说明'!L2="English","How many units did your organization declared in the period of the energy base line?",IF('Instructions 说明'!L2="Chinese","在能量基准线期间，贵组织有多少个单位进行了申报？"))</f>
        <v>How many units did your organization declared in the period of the energy base line?</v>
      </c>
    </row>
    <row r="91" spans="1:8" ht="13" thickBot="1" x14ac:dyDescent="0.3">
      <c r="A91" s="26"/>
      <c r="B91" s="27"/>
      <c r="C91" s="128"/>
      <c r="D91" s="28"/>
      <c r="E91" s="28"/>
    </row>
    <row r="93" spans="1:8" ht="13" thickBot="1" x14ac:dyDescent="0.3"/>
    <row r="94" spans="1:8" ht="37.5" x14ac:dyDescent="0.25">
      <c r="A94" s="8" t="str">
        <f>IF('Instructions 说明'!L2="English","Actual status of Energy Management System (ISO 50001)",IF('Instructions 说明'!L2="Chinese","能源管理体系的实际状态（ISO 50001）"))</f>
        <v>Actual status of Energy Management System (ISO 50001)</v>
      </c>
      <c r="B94" s="9" t="str">
        <f>IF('Instructions 说明'!L2="English","Does your Energy Management System is certified?",IF('Instructions 说明'!L2="Chinese","您的能源管理体系是否经过认证？"))</f>
        <v>Does your Energy Management System is certified?</v>
      </c>
      <c r="C94" s="9" t="str">
        <f>IF('Instructions 说明'!L2="English","Please describe the Scope of Work",IF('Instructions 说明'!L2="Chinese","请描述认证范围"))</f>
        <v>Please describe the Scope of Work</v>
      </c>
      <c r="D94" s="10" t="str">
        <f>IF('Instructions 说明'!L2="English","Which company provided the certificate",IF('Instructions 说明'!L2="Chinese","哪家公司提供的证书"))</f>
        <v>Which company provided the certificate</v>
      </c>
    </row>
    <row r="95" spans="1:8" ht="13" thickBot="1" x14ac:dyDescent="0.3">
      <c r="A95" s="130"/>
      <c r="B95" s="131"/>
      <c r="C95" s="131"/>
      <c r="D95" s="129"/>
    </row>
  </sheetData>
  <mergeCells count="52">
    <mergeCell ref="D16:H16"/>
    <mergeCell ref="B78:B81"/>
    <mergeCell ref="B82:B85"/>
    <mergeCell ref="A62:H62"/>
    <mergeCell ref="A35:H35"/>
    <mergeCell ref="B52:B59"/>
    <mergeCell ref="C52:C59"/>
    <mergeCell ref="B36:B43"/>
    <mergeCell ref="C36:C43"/>
    <mergeCell ref="B44:B51"/>
    <mergeCell ref="C44:C51"/>
    <mergeCell ref="A36:A43"/>
    <mergeCell ref="A44:A51"/>
    <mergeCell ref="A52:A59"/>
    <mergeCell ref="C27:C34"/>
    <mergeCell ref="A16:A17"/>
    <mergeCell ref="C16:C17"/>
    <mergeCell ref="B16:B17"/>
    <mergeCell ref="A18:A26"/>
    <mergeCell ref="A27:A34"/>
    <mergeCell ref="B18:B26"/>
    <mergeCell ref="C18:C26"/>
    <mergeCell ref="B10:C10"/>
    <mergeCell ref="B11:C11"/>
    <mergeCell ref="E9:H9"/>
    <mergeCell ref="A1:H1"/>
    <mergeCell ref="E2:H2"/>
    <mergeCell ref="E3:H3"/>
    <mergeCell ref="E4:H4"/>
    <mergeCell ref="A6:H6"/>
    <mergeCell ref="B2:C2"/>
    <mergeCell ref="A88:H88"/>
    <mergeCell ref="A14:H14"/>
    <mergeCell ref="F66:F69"/>
    <mergeCell ref="F70:F73"/>
    <mergeCell ref="F74:F77"/>
    <mergeCell ref="F82:F85"/>
    <mergeCell ref="F78:F81"/>
    <mergeCell ref="C66:C69"/>
    <mergeCell ref="C70:C73"/>
    <mergeCell ref="C74:C77"/>
    <mergeCell ref="C78:C81"/>
    <mergeCell ref="C82:C85"/>
    <mergeCell ref="B66:B69"/>
    <mergeCell ref="B70:B73"/>
    <mergeCell ref="B74:B77"/>
    <mergeCell ref="B27:B34"/>
    <mergeCell ref="A66:A69"/>
    <mergeCell ref="A70:A73"/>
    <mergeCell ref="A74:A77"/>
    <mergeCell ref="A78:A81"/>
    <mergeCell ref="A82:A85"/>
  </mergeCells>
  <dataValidations count="2">
    <dataValidation type="whole" operator="greaterThan" allowBlank="1" showInputMessage="1" showErrorMessage="1" sqref="B18:C18 B27:C32 B36:C41 B44:C49 B52:C57 C66:C85 C91" xr:uid="{3CB15AB6-D0BF-43D2-884C-5E58F2D4C724}">
      <formula1>-1</formula1>
    </dataValidation>
    <dataValidation type="whole" operator="greaterThan" allowBlank="1" showInputMessage="1" showErrorMessage="1" sqref="E11:G11" xr:uid="{5A1C1CBF-B785-43A4-8D6B-D1CEB70DA004}">
      <formula1>0</formula1>
    </dataValidation>
  </dataValidations>
  <hyperlinks>
    <hyperlink ref="E3" r:id="rId1" xr:uid="{DD272435-FB0F-42E8-92CE-00E8418C8FED}"/>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6BE1C3DD-2385-44CA-AE7D-0B8F0D8D198C}">
          <x14:formula1>
            <xm:f>'Data Validation Tab'!$G$1:$G$9</xm:f>
          </x14:formula1>
          <xm:sqref>D18:D34 D36:D59</xm:sqref>
        </x14:dataValidation>
        <x14:dataValidation type="list" allowBlank="1" showInputMessage="1" showErrorMessage="1" xr:uid="{6752264A-AA90-4261-A8B2-0209D80099E6}">
          <x14:formula1>
            <xm:f>'Data Validation Tab'!$F$1:$F$7</xm:f>
          </x14:formula1>
          <xm:sqref>D66:D85 E18:E34 E36:E59</xm:sqref>
        </x14:dataValidation>
        <x14:dataValidation type="list" allowBlank="1" showInputMessage="1" showErrorMessage="1" xr:uid="{73C5671A-3817-4932-91EB-F48E531FBE04}">
          <x14:formula1>
            <xm:f>'Data Validation Tab'!$I$1:$I$14</xm:f>
          </x14:formula1>
          <xm:sqref>H18:H34 H36:H59</xm:sqref>
        </x14:dataValidation>
        <x14:dataValidation type="list" allowBlank="1" showInputMessage="1" showErrorMessage="1" xr:uid="{1110A6BA-F10D-491B-A859-A1F69175CD16}">
          <x14:formula1>
            <xm:f>'Data Validation Tab'!$J$1:$J$3</xm:f>
          </x14:formula1>
          <xm:sqref>A95</xm:sqref>
        </x14:dataValidation>
        <x14:dataValidation type="list" allowBlank="1" showInputMessage="1" showErrorMessage="1" xr:uid="{F5CBB09D-8E8C-4C01-88D2-D1816276F98B}">
          <x14:formula1>
            <xm:f>'Data Validation Tab'!$K$1:$K$3</xm:f>
          </x14:formula1>
          <xm:sqref>B95</xm:sqref>
        </x14:dataValidation>
        <x14:dataValidation type="list" allowBlank="1" showInputMessage="1" showErrorMessage="1" xr:uid="{5FD83313-0974-4ABE-8E49-42FE2EFFBA6F}">
          <x14:formula1>
            <xm:f>'Data Validation Tab'!$AM$1:$AM$8</xm:f>
          </x14:formula1>
          <xm:sqref>E66:E85</xm:sqref>
        </x14:dataValidation>
        <x14:dataValidation type="list" allowBlank="1" showInputMessage="1" showErrorMessage="1" xr:uid="{70661B6C-86E3-4945-9E5E-3968DD221EF8}">
          <x14:formula1>
            <xm:f>'Data Validation Tab'!$C$1:$C$2</xm:f>
          </x14:formula1>
          <xm:sqref>D11</xm:sqref>
        </x14:dataValidation>
        <x14:dataValidation type="list" allowBlank="1" showInputMessage="1" showErrorMessage="1" xr:uid="{F8C80042-3826-4C31-A284-DB02B0EF8896}">
          <x14:formula1>
            <xm:f>'Data Validation Tab'!$C$1:$C$3</xm:f>
          </x14:formula1>
          <xm:sqref>A11</xm:sqref>
        </x14:dataValidation>
        <x14:dataValidation type="list" allowBlank="1" showInputMessage="1" showErrorMessage="1" xr:uid="{221A7880-56DA-49E6-ACA5-E5B8BC6FEA02}">
          <x14:formula1>
            <xm:f>'Data Validation Tab'!$D$1:$D$5</xm:f>
          </x14:formula1>
          <xm:sqref>B11:C11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1A8CE-E4BC-4BD5-80BF-4FDA9029EE4A}">
  <sheetPr codeName="Sheet2"/>
  <dimension ref="A1:L34"/>
  <sheetViews>
    <sheetView zoomScale="82" zoomScaleNormal="82" workbookViewId="0">
      <selection activeCell="E36" sqref="E36"/>
    </sheetView>
  </sheetViews>
  <sheetFormatPr defaultColWidth="8.7265625" defaultRowHeight="12.5" x14ac:dyDescent="0.25"/>
  <cols>
    <col min="1" max="1" width="29" style="5" customWidth="1"/>
    <col min="2" max="2" width="24.1796875" style="5" customWidth="1"/>
    <col min="3" max="3" width="25.26953125" style="5" customWidth="1"/>
    <col min="4" max="4" width="20.1796875" style="5" customWidth="1"/>
    <col min="5" max="5" width="24.54296875" style="5" customWidth="1"/>
    <col min="6" max="6" width="25.90625" style="5" customWidth="1"/>
    <col min="7" max="7" width="32" style="5" customWidth="1"/>
    <col min="8" max="8" width="16.26953125" style="5" customWidth="1"/>
    <col min="9" max="9" width="16.54296875" style="5" customWidth="1"/>
    <col min="10" max="10" width="16.453125" style="5" customWidth="1"/>
    <col min="11" max="11" width="16.26953125" style="5" customWidth="1"/>
    <col min="12" max="16384" width="8.7265625" style="5"/>
  </cols>
  <sheetData>
    <row r="1" spans="1:12" ht="14.5" thickBot="1" x14ac:dyDescent="0.35">
      <c r="A1" s="178" t="str">
        <f>IF('Instructions 说明'!L2="English","Global Questions for GHG",IF('Instructions 说明'!L2="Chinese","温室气体全球问题"))</f>
        <v>Global Questions for GHG</v>
      </c>
      <c r="B1" s="179"/>
      <c r="C1" s="179"/>
      <c r="D1" s="179"/>
      <c r="E1" s="179"/>
      <c r="F1" s="179"/>
      <c r="G1" s="180"/>
      <c r="I1"/>
      <c r="J1"/>
      <c r="K1"/>
    </row>
    <row r="3" spans="1:12" x14ac:dyDescent="0.25">
      <c r="A3" s="5" t="str">
        <f>IF('Instructions 说明'!L2="English","Initial date for GHG data",IF('Instructions 说明'!L2="Chinese","温室气体数据的初始日期"))</f>
        <v>Initial date for GHG data</v>
      </c>
      <c r="B3" s="14">
        <f>'Energy Consumption Global全球能源消耗'!B7</f>
        <v>44562</v>
      </c>
    </row>
    <row r="4" spans="1:12" x14ac:dyDescent="0.25">
      <c r="A4" s="5" t="str">
        <f>IF('Instructions 说明'!L2="English","End date for GHG data",IF('Instructions 说明'!L2="Chinese","温室气体数据的结束日期"))</f>
        <v>End date for GHG data</v>
      </c>
      <c r="B4" s="14">
        <f>'Energy Consumption Global全球能源消耗'!B8</f>
        <v>44926</v>
      </c>
    </row>
    <row r="5" spans="1:12" ht="13" thickBot="1" x14ac:dyDescent="0.3">
      <c r="B5" s="14"/>
    </row>
    <row r="6" spans="1:12" ht="50" x14ac:dyDescent="0.25">
      <c r="A6" s="77" t="str">
        <f>IF('Instructions 说明'!L2="English","Do you calculate Greenhouse gas (GHG) emissions? ",IF('Instructions 说明'!L2="Chinese","您计算了温室气体排放量吗？"))</f>
        <v xml:space="preserve">Do you calculate Greenhouse gas (GHG) emissions? </v>
      </c>
      <c r="B6" s="77" t="str">
        <f>IF('Instructions 说明'!L2="English","According to which guideline?",IF('Instructions 说明'!L2="Chinese","根据哪个指南？"))</f>
        <v>According to which guideline?</v>
      </c>
      <c r="C6" s="77" t="str">
        <f>IF('Instructions 说明'!L2="English","What were your organizations gross global Scope 1 emissions in metric Tons CO2 e?",IF('Instructions 说明'!L2="Chinese","您的组织的全球范围1排放总量是多少（单位：公吨二氧化碳当量）"))</f>
        <v>What were your organizations gross global Scope 1 emissions in metric Tons CO2 e?</v>
      </c>
      <c r="D6" s="85" t="str">
        <f>IF('Instructions 说明'!L2="English","For scope 2, are your calculations location or market based?",IF('Instructions 说明'!L2="Chinese","对于范围2，您的计算是基于位置还是基于市场？"))</f>
        <v>For scope 2, are your calculations location or market based?</v>
      </c>
      <c r="E6" s="77" t="str">
        <f>IF('Instructions 说明'!L2="English","What were your organizations gross global Scope 2 emissions in metric Tons CO2e?",IF('Instructions 说明'!L2="Chinese","您的组织的全球范围2排放总量是多少（单位：公吨二氧化碳当量）"))</f>
        <v>What were your organizations gross global Scope 2 emissions in metric Tons CO2e?</v>
      </c>
      <c r="F6" s="77" t="str">
        <f>IF('Instructions 说明'!L2="English","Did you have an emissions target that was active in the reporting year?",IF('Instructions 说明'!L2="Chinese","在报告年度，您是否有现行的排放目标？"))</f>
        <v>Did you have an emissions target that was active in the reporting year?</v>
      </c>
      <c r="G6" s="77" t="str">
        <f>IF('Instructions 说明'!L2="English","In case you didn't have an emissions target, explain how this will change in the next 5 years",IF('Instructions 说明'!L2="Chinese","如果您还没有排放目标，请解释未来5年将会发生的变化"))</f>
        <v>In case you didn't have an emissions target, explain how this will change in the next 5 years</v>
      </c>
      <c r="I6"/>
      <c r="J6"/>
      <c r="K6"/>
      <c r="L6"/>
    </row>
    <row r="7" spans="1:12" x14ac:dyDescent="0.25">
      <c r="A7" s="86"/>
      <c r="B7" s="86"/>
      <c r="C7" s="111"/>
      <c r="D7" s="86"/>
      <c r="E7" s="111"/>
      <c r="F7" s="86"/>
      <c r="G7" s="86"/>
      <c r="H7"/>
      <c r="I7"/>
      <c r="J7"/>
      <c r="K7"/>
      <c r="L7"/>
    </row>
    <row r="8" spans="1:12" x14ac:dyDescent="0.25">
      <c r="G8" s="101"/>
    </row>
    <row r="9" spans="1:12" ht="13" thickBot="1" x14ac:dyDescent="0.3"/>
    <row r="10" spans="1:12" ht="14.5" thickBot="1" x14ac:dyDescent="0.35">
      <c r="A10" s="178" t="str">
        <f>IF('Instructions 说明'!L2="English","Optional Questions for Organizations who have GHG Reduction Targets",IF('Instructions 说明'!L2="Chinese","针对有温室气体减排目标的组织的可选问题"))</f>
        <v>Optional Questions for Organizations who have GHG Reduction Targets</v>
      </c>
      <c r="B10" s="179"/>
      <c r="C10" s="179"/>
      <c r="D10" s="179"/>
      <c r="E10" s="179"/>
      <c r="F10" s="179"/>
      <c r="G10" s="179"/>
    </row>
    <row r="12" spans="1:12" ht="13" thickBot="1" x14ac:dyDescent="0.3"/>
    <row r="13" spans="1:12" ht="25.5" thickBot="1" x14ac:dyDescent="0.3">
      <c r="A13" s="104" t="str">
        <f>IF('Instructions 说明'!L2="English","Type of targets",IF('Instructions 说明'!L2="Chinese","目标类型"))</f>
        <v>Type of targets</v>
      </c>
      <c r="B13" s="105" t="str">
        <f>IF('Instructions 说明'!L2="English","Year target was set",IF('Instructions 说明'!L2="Chinese","哪年设定的目标"))</f>
        <v>Year target was set</v>
      </c>
      <c r="C13" s="105" t="str">
        <f>IF('Instructions 说明'!L2="English","target coverage",IF('Instructions 说明'!L2="Chinese","目标覆盖范围"))</f>
        <v>target coverage</v>
      </c>
      <c r="D13" s="105" t="str">
        <f>IF('Instructions 说明'!L2="English","target scope (s)",IF('Instructions 说明'!L2="Chinese","目标范围"))</f>
        <v>target scope (s)</v>
      </c>
      <c r="E13" s="105" t="str">
        <f>IF('Instructions 说明'!L2="English","Target base year",IF('Instructions 说明'!L2="Chinese","目标基准年"))</f>
        <v>Target base year</v>
      </c>
      <c r="F13" s="105" t="str">
        <f>IF('Instructions 说明'!L2="English","Covered emissions in base year (MT CO2e)",IF('Instructions 说明'!L2="Chinese","基准年的覆盖排放量 （单位：公吨二氧化碳当量）"))</f>
        <v>Covered emissions in base year (MT CO2e)</v>
      </c>
      <c r="G13" s="106" t="str">
        <f>IF('Instructions 说明'!L2="English","Covered emissions in base year (%)",IF('Instructions 说明'!L2="Chinese","基准年的覆盖排放量%"))</f>
        <v>Covered emissions in base year (%)</v>
      </c>
    </row>
    <row r="14" spans="1:12" x14ac:dyDescent="0.25">
      <c r="A14" s="102"/>
      <c r="B14" s="102"/>
      <c r="C14" s="102"/>
      <c r="D14" s="102"/>
      <c r="E14" s="102"/>
      <c r="F14" s="102"/>
      <c r="G14" s="103"/>
    </row>
    <row r="16" spans="1:12" ht="13" thickBot="1" x14ac:dyDescent="0.3"/>
    <row r="17" spans="1:11" ht="38" thickBot="1" x14ac:dyDescent="0.3">
      <c r="A17" s="104" t="str">
        <f>IF('Instructions 说明'!L2="English","Target year",IF('Instructions 说明'!L2="Chinese","目标年"))</f>
        <v>Target year</v>
      </c>
      <c r="B17" s="105" t="str">
        <f>IF('Instructions 说明'!L2="English","Targeted reduction from base year (%)",IF('Instructions 说明'!L2="Chinese","基于基准年的目标减排%"))</f>
        <v>Targeted reduction from base year (%)</v>
      </c>
      <c r="C17" s="105" t="str">
        <f>IF('Instructions 说明'!L2="English","Covered emissions in reporting year ( MT CO2)",IF('Instructions 说明'!L2="Chinese","基准年的覆盖排放量 （单位：公吨二氧化碳当量）"))</f>
        <v>Covered emissions in reporting year ( MT CO2)</v>
      </c>
      <c r="D17" s="105" t="str">
        <f>IF('Instructions 说明'!L2="English","Is this a science-based target?",IF('Instructions 说明'!L2="Chinese","这是一个基于科学的目标吗？"))</f>
        <v>Is this a science-based target?</v>
      </c>
      <c r="E17" s="105" t="str">
        <f>IF('Instructions 说明'!L2="English","Target ambition alignment with Paris Agreement?",IF('Instructions 说明'!L2="Chinese","目标雄心是否与《巴黎协定》一致？"))</f>
        <v>Target ambition alignment with Paris Agreement?</v>
      </c>
      <c r="F17" s="223" t="str">
        <f>IF('Instructions 说明'!L2="English","Please provide any other relevant details from this target",IF('Instructions 说明'!L2="Chinese","请提供此目标相关的任何其他详细信息"))</f>
        <v>Please provide any other relevant details from this target</v>
      </c>
      <c r="G17" s="224"/>
    </row>
    <row r="18" spans="1:11" x14ac:dyDescent="0.25">
      <c r="A18" s="102"/>
      <c r="B18" s="103"/>
      <c r="C18" s="107"/>
      <c r="D18" s="133"/>
      <c r="E18" s="155"/>
      <c r="F18" s="225"/>
      <c r="G18" s="226"/>
    </row>
    <row r="22" spans="1:11" x14ac:dyDescent="0.25">
      <c r="H22"/>
      <c r="I22"/>
      <c r="J22"/>
      <c r="K22"/>
    </row>
    <row r="23" spans="1:11" ht="14.5" thickBot="1" x14ac:dyDescent="0.35">
      <c r="A23" s="178" t="str">
        <f>IF('Instructions 说明'!L2="English","Global Questions for Scrap",IF('Instructions 说明'!L2="Chinese","全球废料问题"))</f>
        <v>Global Questions for Scrap</v>
      </c>
      <c r="B23" s="179"/>
      <c r="C23" s="179"/>
      <c r="D23" s="179"/>
      <c r="E23" s="179"/>
      <c r="F23" s="179"/>
      <c r="G23" s="180"/>
      <c r="H23"/>
      <c r="I23"/>
      <c r="J23"/>
      <c r="K23"/>
    </row>
    <row r="25" spans="1:11" x14ac:dyDescent="0.25">
      <c r="A25" s="5" t="str">
        <f>IF('Instructions 说明'!L2="English","Initial date for scrap data",IF('Instructions 说明'!L2="Chinese","废料数据的初始日期"))</f>
        <v>Initial date for scrap data</v>
      </c>
      <c r="B25" s="14">
        <f>'Energy Consumption Global全球能源消耗'!B7</f>
        <v>44562</v>
      </c>
    </row>
    <row r="26" spans="1:11" x14ac:dyDescent="0.25">
      <c r="A26" s="5" t="str">
        <f>IF('Instructions 说明'!L2="English","End date for scrap data",IF('Instructions 说明'!L2="Chinese","废料数据的结束日期"))</f>
        <v>End date for scrap data</v>
      </c>
      <c r="B26" s="14">
        <f>'Energy Consumption Global全球能源消耗'!B8</f>
        <v>44926</v>
      </c>
    </row>
    <row r="27" spans="1:11" ht="13" thickBot="1" x14ac:dyDescent="0.3"/>
    <row r="28" spans="1:11" ht="50" x14ac:dyDescent="0.25">
      <c r="A28" s="82" t="str">
        <f>IF('Instructions 说明'!L2="English","Do you know an average on your products secondary materials?",IF('Instructions 说明'!L2="Chinese","您知道您的产品二次材料的平均值吗？"))</f>
        <v>Do you know an average on your products secondary materials?</v>
      </c>
      <c r="B28" s="82" t="str">
        <f>IF('Instructions 说明'!L2="English","Please share an average on your products pre-consumer material %",IF('Instructions 说明'!L2="Chinese","请分享您的产品消费前材料的平均值%"))</f>
        <v>Please share an average on your products pre-consumer material %</v>
      </c>
      <c r="C28" s="82" t="str">
        <f>IF('Instructions 说明'!L2="English","Please share an average on your products post-consumer material %",IF('Instructions 说明'!L2="Chinese","请分享您的产品消费后材料的平均值%"))</f>
        <v>Please share an average on your products post-consumer material %</v>
      </c>
      <c r="D28" s="82" t="str">
        <f>IF('Instructions 说明'!L2="English","Please share an average on your products re-utilization material %",IF('Instructions 说明'!L2="Chinese","请分享您的产品再利用材料的平均值%"))</f>
        <v>Please share an average on your products re-utilization material %</v>
      </c>
      <c r="E28"/>
      <c r="F28"/>
      <c r="G28"/>
      <c r="K28"/>
    </row>
    <row r="29" spans="1:11" x14ac:dyDescent="0.25">
      <c r="A29" s="86"/>
      <c r="B29" s="108"/>
      <c r="C29" s="108"/>
      <c r="D29" s="108"/>
      <c r="E29"/>
      <c r="F29"/>
      <c r="G29"/>
      <c r="K29"/>
    </row>
    <row r="30" spans="1:11" x14ac:dyDescent="0.25">
      <c r="K30"/>
    </row>
    <row r="31" spans="1:11" x14ac:dyDescent="0.25">
      <c r="K31"/>
    </row>
    <row r="32" spans="1:11" ht="13" thickBot="1" x14ac:dyDescent="0.3"/>
    <row r="33" spans="1:7" ht="50" x14ac:dyDescent="0.25">
      <c r="A33" s="82" t="str">
        <f>IF('Instructions 说明'!L2="English","Do you produce plastics?",IF('Instructions 说明'!L2="Chinese","您生产塑料吗？"))</f>
        <v>Do you produce plastics?</v>
      </c>
      <c r="B33" s="82" t="str">
        <f>IF('Instructions 说明'!L2="English","Please share an average on the filler content %",IF('Instructions 说明'!L2="Chinese","请分享填料含量平均值%"))</f>
        <v>Please share an average on the filler content %</v>
      </c>
      <c r="C33" s="82" t="str">
        <f>IF('Instructions 说明'!L2="English","Please share an average on the secondary filler content %",IF('Instructions 说明'!L2="Chinese","请分享二次填料含量平均值%"))</f>
        <v>Please share an average on the secondary filler content %</v>
      </c>
      <c r="D33" s="82" t="str">
        <f>IF('Instructions 说明'!L2="English","In case you produce plastics, do you know the fiber content?",IF('Instructions 说明'!L2="Chinese","如果您生产塑料，您知道纤维含量吗？"))</f>
        <v>In case you produce plastics, do you know the fiber content?</v>
      </c>
      <c r="E33" s="82" t="str">
        <f>IF('Instructions 说明'!L2="English","Please share an average on the fiber content %",IF('Instructions 说明'!L2="Chinese","请分享填料含量平均值%"))</f>
        <v>Please share an average on the fiber content %</v>
      </c>
      <c r="F33" s="82" t="str">
        <f>IF('Instructions 说明'!L2="English","Please share an average on the secondary fiber content %",IF('Instructions 说明'!L2="Chinese","请分享二次填料含量平均值%"))</f>
        <v>Please share an average on the secondary fiber content %</v>
      </c>
      <c r="G33"/>
    </row>
    <row r="34" spans="1:7" x14ac:dyDescent="0.25">
      <c r="A34" s="86"/>
      <c r="B34" s="132"/>
      <c r="C34" s="132"/>
      <c r="D34" s="86"/>
      <c r="E34" s="86"/>
      <c r="F34" s="86"/>
      <c r="G34"/>
    </row>
  </sheetData>
  <mergeCells count="5">
    <mergeCell ref="A1:G1"/>
    <mergeCell ref="A10:G10"/>
    <mergeCell ref="F17:G17"/>
    <mergeCell ref="A23:G23"/>
    <mergeCell ref="F18:G18"/>
  </mergeCells>
  <dataValidations count="1">
    <dataValidation type="whole" operator="greaterThan" allowBlank="1" showInputMessage="1" showErrorMessage="1" sqref="C7" xr:uid="{F7AD9D60-78AF-419F-9833-B046C94DD8F6}">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DCE96B6A-CB97-45FB-B466-D476066AE2EE}">
          <x14:formula1>
            <xm:f>'Data Validation Tab'!$AR$1:$AR$7</xm:f>
          </x14:formula1>
          <xm:sqref>G7</xm:sqref>
        </x14:dataValidation>
        <x14:dataValidation type="list" allowBlank="1" showInputMessage="1" showErrorMessage="1" xr:uid="{59C6205D-38EB-4F4A-BBEE-F0B7013EB8D6}">
          <x14:formula1>
            <xm:f>'Data Validation Tab'!$AP$1:$AP$2</xm:f>
          </x14:formula1>
          <xm:sqref>D7</xm:sqref>
        </x14:dataValidation>
        <x14:dataValidation type="list" allowBlank="1" showInputMessage="1" showErrorMessage="1" xr:uid="{BB562C9B-79D6-4A34-815A-93BA380902D9}">
          <x14:formula1>
            <xm:f>'Data Validation Tab'!$AQ$1:$AQ$5</xm:f>
          </x14:formula1>
          <xm:sqref>F7</xm:sqref>
        </x14:dataValidation>
        <x14:dataValidation type="list" allowBlank="1" showInputMessage="1" showErrorMessage="1" xr:uid="{23E57808-6AD0-4284-8FFA-C24B04560C47}">
          <x14:formula1>
            <xm:f>'Data Validation Tab'!$AS$1:$AS$5</xm:f>
          </x14:formula1>
          <xm:sqref>A14</xm:sqref>
        </x14:dataValidation>
        <x14:dataValidation type="list" allowBlank="1" showInputMessage="1" showErrorMessage="1" xr:uid="{04710C55-172F-4863-ABC7-B310CE812302}">
          <x14:formula1>
            <xm:f>'Data Validation Tab'!$AJ$1:$AJ$7</xm:f>
          </x14:formula1>
          <xm:sqref>C14</xm:sqref>
        </x14:dataValidation>
        <x14:dataValidation type="list" allowBlank="1" showInputMessage="1" showErrorMessage="1" xr:uid="{13CA05BD-9ED1-4341-8C41-73D8AD7573D3}">
          <x14:formula1>
            <xm:f>'Data Validation Tab'!$AK$1:$AK$7</xm:f>
          </x14:formula1>
          <xm:sqref>D14</xm:sqref>
        </x14:dataValidation>
        <x14:dataValidation type="list" allowBlank="1" showInputMessage="1" showErrorMessage="1" xr:uid="{78459EE9-A730-4455-B914-6AE980E1D3DB}">
          <x14:formula1>
            <xm:f>'Data Validation Tab'!$AT$1:$AT$5</xm:f>
          </x14:formula1>
          <xm:sqref>D18</xm:sqref>
        </x14:dataValidation>
        <x14:dataValidation type="list" allowBlank="1" showInputMessage="1" showErrorMessage="1" xr:uid="{17CF8DE8-78D2-4515-9CC5-1EE96269C869}">
          <x14:formula1>
            <xm:f>'Data Validation Tab'!$AU$1:$AU$4</xm:f>
          </x14:formula1>
          <xm:sqref>E18</xm:sqref>
        </x14:dataValidation>
        <x14:dataValidation type="list" allowBlank="1" showInputMessage="1" showErrorMessage="1" xr:uid="{589BF9CD-1B35-4CB5-AE2F-3090892871B1}">
          <x14:formula1>
            <xm:f>'Data Validation Tab'!$C$1:$C$3</xm:f>
          </x14:formula1>
          <xm:sqref>A7 A29 A34 D34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21EE-E557-4117-A4CE-395D19C772DA}">
  <sheetPr codeName="Sheet3"/>
  <dimension ref="A2:W108"/>
  <sheetViews>
    <sheetView topLeftCell="A37" zoomScaleNormal="100" workbookViewId="0">
      <selection activeCell="J50" sqref="J50:J52"/>
    </sheetView>
  </sheetViews>
  <sheetFormatPr defaultColWidth="8.7265625" defaultRowHeight="12.5" x14ac:dyDescent="0.25"/>
  <cols>
    <col min="1" max="1" width="2.26953125" style="30" customWidth="1"/>
    <col min="2" max="2" width="9.81640625" style="30" customWidth="1"/>
    <col min="3" max="3" width="16.54296875" style="30" customWidth="1"/>
    <col min="4" max="4" width="26.7265625" style="30" customWidth="1"/>
    <col min="5" max="5" width="16.453125" style="30" hidden="1" customWidth="1"/>
    <col min="6" max="6" width="16" style="30" hidden="1" customWidth="1"/>
    <col min="7" max="7" width="30.7265625" style="30" customWidth="1"/>
    <col min="8" max="8" width="25.81640625" style="30" hidden="1" customWidth="1"/>
    <col min="9" max="9" width="23" style="30" hidden="1" customWidth="1"/>
    <col min="10" max="10" width="24.81640625" style="30" customWidth="1"/>
    <col min="11" max="11" width="35.453125" style="30" customWidth="1"/>
    <col min="12" max="12" width="13" style="30" customWidth="1"/>
    <col min="13" max="13" width="12.81640625" style="30" customWidth="1"/>
    <col min="14" max="14" width="25" style="30" customWidth="1"/>
    <col min="15" max="15" width="28" style="30" customWidth="1"/>
    <col min="16" max="16" width="31.81640625" style="30" customWidth="1"/>
    <col min="17" max="17" width="16.453125" style="30" hidden="1" customWidth="1"/>
    <col min="18" max="18" width="17.26953125" style="30" hidden="1" customWidth="1"/>
    <col min="19" max="19" width="14" style="30" hidden="1" customWidth="1"/>
    <col min="20" max="20" width="14.453125" style="30" hidden="1" customWidth="1"/>
    <col min="21" max="21" width="34.1796875" style="30" customWidth="1"/>
    <col min="22" max="22" width="35.81640625" style="30" customWidth="1"/>
    <col min="23" max="16384" width="8.7265625" style="30"/>
  </cols>
  <sheetData>
    <row r="2" spans="3:4" x14ac:dyDescent="0.25">
      <c r="C2" s="30" t="str">
        <f>IF('Instructions 说明'!$L$2="English", "General Instructions:", IF('Instructions 说明'!$L$2="Chinese", "总体说明："))</f>
        <v>General Instructions:</v>
      </c>
    </row>
    <row r="5" spans="3:4" x14ac:dyDescent="0.25">
      <c r="C5" s="30" t="str">
        <f>IF('Instructions 说明'!$L$2="English", "1. In order to make calculations, only cells in yellow have to be filled with your data", IF('Instructions 说明'!$L$2="Chinese", "1.为了进行计算，只有黄色的单元格必须填写数据"))</f>
        <v>1. In order to make calculations, only cells in yellow have to be filled with your data</v>
      </c>
    </row>
    <row r="6" spans="3:4" x14ac:dyDescent="0.25">
      <c r="C6" s="30" t="str">
        <f>IF('Instructions 说明'!$L$2="English", "2. For creating an energy baseline fom volume or mass state fuel:", IF('Instructions 说明'!$L$2="Chinese", "2.对于创建体积或质量状态燃料的能量基准线："))</f>
        <v>2. For creating an energy baseline fom volume or mass state fuel:</v>
      </c>
    </row>
    <row r="7" spans="3:4" x14ac:dyDescent="0.25">
      <c r="D7" s="30" t="str">
        <f>IF('Instructions 说明'!$L$2="English", "Option1: Insert your heat value obtained from invoices, these tend to vary each month, consider it for column O. You can use Table 1.1 for converting HV to TJ/M3 or TJ/Ton", IF('Instructions 说明'!$L$2="Chinese", "选项1：插入从发票中获得的热值，这些值每月都会有所不同，将其作为O列。您可以使用表1.1将热值转换为万亿焦耳/立方米（TJ/M3）或万亿焦耳/吨（TJ/Ton）"))</f>
        <v>Option1: Insert your heat value obtained from invoices, these tend to vary each month, consider it for column O. You can use Table 1.1 for converting HV to TJ/M3 or TJ/Ton</v>
      </c>
    </row>
    <row r="8" spans="3:4" x14ac:dyDescent="0.25">
      <c r="D8" s="30" t="str">
        <f>IF('Instructions 说明'!$L$2="English", "Option 2: Write the heat value and density (only for volume) from CDP tables, consider it for column V", IF('Instructions 说明'!$L$2="Chinese", "选项2：从CDP表中写入热值和密度（仅适用于体积），将其作为V列。"))</f>
        <v>Option 2: Write the heat value and density (only for volume) from CDP tables, consider it for column V</v>
      </c>
    </row>
    <row r="9" spans="3:4" x14ac:dyDescent="0.25">
      <c r="D9" s="30" t="str">
        <f>IF('Instructions 说明'!$L$2="English", "For any option write your monthly consumption and the unit in which you obtain/procure this fuel", IF('Instructions 说明'!$L$2="Chinese", "对于任何选项，请填写您的每月消耗量以及您获取/购买该燃料的单位。"))</f>
        <v>For any option write your monthly consumption and the unit in which you obtain/procure this fuel</v>
      </c>
    </row>
    <row r="10" spans="3:4" x14ac:dyDescent="0.25">
      <c r="D10" s="29" t="str">
        <f>IF('Instructions 说明'!$L$2="English", "Results can be found un column U and V", IF('Instructions 说明'!$L$2="Chinese", "结果可在U列和V列中找到。"))</f>
        <v>Results can be found un column U and V</v>
      </c>
    </row>
    <row r="11" spans="3:4" x14ac:dyDescent="0.25">
      <c r="D11" s="29"/>
    </row>
    <row r="12" spans="3:4" x14ac:dyDescent="0.25">
      <c r="C12" s="30" t="str">
        <f>IF('Instructions 说明'!$L$2="English", "3. For converting your consumption of any energy carrier bill into MWh, use Table 1.3.", IF('Instructions 说明'!$L$2="Chinese", "3.要将任何能源载体账单的消耗量转换为兆瓦时（MWh），请使用表1.3。"))</f>
        <v>3. For converting your consumption of any energy carrier bill into MWh, use Table 1.3.</v>
      </c>
    </row>
    <row r="13" spans="3:4" x14ac:dyDescent="0.25">
      <c r="D13" s="30" t="str">
        <f>IF('Instructions 说明'!$L$2="English", "Select the energy unit and write the amount ", IF('Instructions 说明'!$L$2="Chinese", "选择能量单位并写入数额"))</f>
        <v xml:space="preserve">Select the energy unit and write the amount </v>
      </c>
    </row>
    <row r="14" spans="3:4" x14ac:dyDescent="0.25">
      <c r="D14" s="29" t="str">
        <f>IF('Instructions 说明'!$L$2="English", "Results can be found on column J ", IF('Instructions 说明'!$L$2="Chinese", "结果可在J列中找到。"))</f>
        <v xml:space="preserve">Results can be found on column J </v>
      </c>
    </row>
    <row r="15" spans="3:4" x14ac:dyDescent="0.25">
      <c r="C15" s="30" t="str">
        <f>IF('Instructions 说明'!$L$2="English", "4. For using any conversion of international system, use Table 2. ", IF('Instructions 说明'!$L$2="Chinese", "4.对于使用国际体系的任何转换，请使用表2。"))</f>
        <v xml:space="preserve">4. For using any conversion of international system, use Table 2. </v>
      </c>
    </row>
    <row r="16" spans="3:4" x14ac:dyDescent="0.25">
      <c r="D16" s="30" t="str">
        <f>IF('Instructions 说明'!$L$2="English", "Select the initial prefix and write the amount ", IF('Instructions 说明'!$L$2="Chinese", "选择初始前缀并写入数额"))</f>
        <v xml:space="preserve">Select the initial prefix and write the amount </v>
      </c>
    </row>
    <row r="17" spans="3:23" x14ac:dyDescent="0.25">
      <c r="D17" s="29" t="str">
        <f>IF('Instructions 说明'!$L$2="English", "Results can be found on column D and K", IF('Instructions 说明'!$L$2="Chinese", "结果可在D列和K列中找到。"))</f>
        <v>Results can be found on column D and K</v>
      </c>
    </row>
    <row r="18" spans="3:23" x14ac:dyDescent="0.25">
      <c r="C18" s="162" t="str">
        <f>IF('Instructions 说明'!$L$2="English", "5. For more guidelines on energy calculations you can use the attachments below Table 2", IF('Instructions 说明'!$L$2="Chinese", "5.有关能量计算的更多指南，您可以使用下面的附件表2。"))</f>
        <v>5. For more guidelines on energy calculations you can use the attachments below Table 2</v>
      </c>
      <c r="D18" s="29"/>
    </row>
    <row r="19" spans="3:23" x14ac:dyDescent="0.25">
      <c r="D19" s="29"/>
    </row>
    <row r="20" spans="3:23" x14ac:dyDescent="0.25">
      <c r="D20" s="29"/>
      <c r="J20" s="163"/>
    </row>
    <row r="21" spans="3:23" ht="10.5" customHeight="1" thickBot="1" x14ac:dyDescent="0.3"/>
    <row r="22" spans="3:23" ht="25" customHeight="1" x14ac:dyDescent="0.25">
      <c r="C22" s="227" t="str">
        <f>IF('Instructions 说明'!$L$2="English", "Table 1. Energy conversions", IF('Instructions 说明'!$L$2="Chinese", "表1. 能量转换"))</f>
        <v>Table 1. Energy conversions</v>
      </c>
      <c r="D22" s="228"/>
      <c r="E22" s="228"/>
      <c r="F22" s="228"/>
      <c r="G22" s="228"/>
      <c r="H22" s="228"/>
      <c r="I22" s="228"/>
      <c r="J22" s="228"/>
      <c r="K22" s="229"/>
      <c r="N22" s="227" t="str">
        <f>IF('Instructions 说明'!$L$2="English", "Table 3. Energy conversions: From volume", IF('Instructions 说明'!$L$2="Chinese", "表3. 能力转换：体积"))</f>
        <v>Table 3. Energy conversions: From volume</v>
      </c>
      <c r="O22" s="228"/>
      <c r="P22" s="228"/>
      <c r="Q22" s="228"/>
      <c r="R22" s="228"/>
      <c r="S22" s="228"/>
      <c r="T22" s="228"/>
      <c r="U22" s="228"/>
      <c r="V22" s="229"/>
    </row>
    <row r="23" spans="3:23" ht="25" customHeight="1" x14ac:dyDescent="0.25">
      <c r="C23" s="230" t="str">
        <f>IF('Instructions 说明'!$L$2="English", "For obtaining Heat Value and Density in the correct unit &amp; conversions for energy carriers", IF('Instructions 说明'!$L$2="Chinese", "用于获得热值和密度的正确单位以及能源载体的换算"))</f>
        <v>For obtaining Heat Value and Density in the correct unit &amp; conversions for energy carriers</v>
      </c>
      <c r="D23" s="231"/>
      <c r="E23" s="231"/>
      <c r="F23" s="231"/>
      <c r="G23" s="231"/>
      <c r="H23" s="231"/>
      <c r="I23" s="231"/>
      <c r="J23" s="231"/>
      <c r="K23" s="232"/>
      <c r="N23" s="235" t="str">
        <f>IF('Instructions 说明'!$L$2="English", "How do you procure/obtain this energy?", IF('Instructions 说明'!$L$2="Chinese", "你如何购买/获得这种能量？"))</f>
        <v>How do you procure/obtain this energy?</v>
      </c>
      <c r="O23" s="236"/>
      <c r="P23" s="126" t="s">
        <v>24</v>
      </c>
      <c r="Q23" s="236"/>
      <c r="R23" s="236"/>
      <c r="S23" s="236"/>
      <c r="T23" s="31"/>
      <c r="U23" s="32"/>
      <c r="V23" s="33"/>
    </row>
    <row r="24" spans="3:23" ht="28" customHeight="1" x14ac:dyDescent="0.25">
      <c r="C24" s="34"/>
      <c r="D24" s="35"/>
      <c r="E24" s="35"/>
      <c r="F24" s="35"/>
      <c r="G24" s="35"/>
      <c r="H24" s="35"/>
      <c r="I24" s="35"/>
      <c r="J24" s="35"/>
      <c r="K24" s="36"/>
      <c r="N24" s="37"/>
      <c r="O24" s="38"/>
      <c r="P24" s="38"/>
      <c r="Q24" s="38"/>
      <c r="R24" s="35"/>
      <c r="S24" s="35"/>
      <c r="T24" s="35"/>
      <c r="U24" s="115" t="str">
        <f>IF('Instructions 说明'!$L$2="English", "Write Heat Value in TJ/GG", IF('Instructions 说明'!$L$2="Chinese", "写入热值（TJ/GG）"))</f>
        <v>Write Heat Value in TJ/GG</v>
      </c>
      <c r="V24" s="116">
        <v>0</v>
      </c>
      <c r="W24" s="127" t="str">
        <f>IF('Instructions 说明'!$L$2="English", "Option 1: Use HV from invoice in TJ/M3, this has monthly variations change in column P", IF('Instructions 说明'!$L$2="Chinese", "选项1：使用发票中的热值（单位：TJ/M3），这在P列中有每月变化"))</f>
        <v>Option 1: Use HV from invoice in TJ/M3, this has monthly variations change in column P</v>
      </c>
    </row>
    <row r="25" spans="3:23" x14ac:dyDescent="0.25">
      <c r="C25" s="233" t="str">
        <f>IF('Instructions 说明'!$L$2="English", "Table 1.1 For Heat Value", IF('Instructions 说明'!$L$2="Chinese", "表1.1 热值"))</f>
        <v>Table 1.1 For Heat Value</v>
      </c>
      <c r="D25" s="234"/>
      <c r="E25" s="35"/>
      <c r="F25" s="35"/>
      <c r="G25" s="35"/>
      <c r="H25" s="35"/>
      <c r="I25" s="35"/>
      <c r="J25" s="35"/>
      <c r="K25" s="36"/>
      <c r="N25" s="37"/>
      <c r="O25" s="38"/>
      <c r="P25" s="38"/>
      <c r="Q25" s="38"/>
      <c r="R25" s="35"/>
      <c r="S25" s="35"/>
      <c r="T25" s="35"/>
      <c r="U25" s="156" t="str">
        <f>IF('Instructions 说明'!$L$2="English", "Write Density (kg/m3)", IF('Instructions 说明'!$L$2="Chinese", "写入密度（(kg/m3)）"))</f>
        <v>Write Density (kg/m3)</v>
      </c>
      <c r="V25" s="117">
        <v>0</v>
      </c>
      <c r="W25" s="127" t="str">
        <f>IF('Instructions 说明'!$L$2="English", "Option 2: Use HV from tables, density will be needed, according to location in can be LHV or HHV", IF('Instructions 说明'!$L$2="Chinese", "选项2：使用表中的HV，需要密度。根据位置，可以是较低热值或较高热值）"))</f>
        <v>Option 2: Use HV from tables, density will be needed, according to location in can be LHV or HHV</v>
      </c>
    </row>
    <row r="26" spans="3:23" ht="13" x14ac:dyDescent="0.3">
      <c r="C26" s="34"/>
      <c r="D26" s="35"/>
      <c r="E26" s="35"/>
      <c r="F26" s="35"/>
      <c r="G26" s="35"/>
      <c r="H26" s="35"/>
      <c r="I26" s="35"/>
      <c r="J26" s="35"/>
      <c r="K26" s="36"/>
      <c r="N26" s="37" t="str">
        <f>IF('Instructions 说明'!$L$2="English", "Timeline", IF('Instructions 说明'!$L$2="Chinese", "时间线"))</f>
        <v>Timeline</v>
      </c>
      <c r="O26" s="40" t="str">
        <f>IF('Instructions 说明'!$L$2="English", "Consumption", IF('Instructions 说明'!$L$2="Chinese", "时间线"))</f>
        <v>Consumption</v>
      </c>
      <c r="P26" s="40" t="s">
        <v>67</v>
      </c>
      <c r="Q26" s="40" t="s">
        <v>33</v>
      </c>
      <c r="R26" s="40" t="s">
        <v>25</v>
      </c>
      <c r="S26" s="41" t="s">
        <v>26</v>
      </c>
      <c r="T26" s="42" t="s">
        <v>27</v>
      </c>
      <c r="U26" s="41" t="s">
        <v>191</v>
      </c>
      <c r="V26" s="43" t="s">
        <v>192</v>
      </c>
      <c r="W26" s="39"/>
    </row>
    <row r="27" spans="3:23" ht="15" customHeight="1" x14ac:dyDescent="0.3">
      <c r="C27" s="44" t="str">
        <f>IF('Instructions 说明'!$L$2="English", "Energy Unit", IF('Instructions 说明'!$L$2="Chinese", " 能量单位"))</f>
        <v>Energy Unit</v>
      </c>
      <c r="D27" s="45" t="str">
        <f>IF('Instructions 说明'!$L$2="English", "Mass/Volume Unit", IF('Instructions 说明'!$L$2="Chinese", "质量/体积单位"))</f>
        <v>Mass/Volume Unit</v>
      </c>
      <c r="E27" s="46" t="s">
        <v>62</v>
      </c>
      <c r="F27" s="46" t="s">
        <v>39</v>
      </c>
      <c r="G27" s="45" t="str">
        <f>IF('Instructions 说明'!$L$2="English", "Amount to convert", IF('Instructions 说明'!$L$2="Chinese", "要转换的数额"))</f>
        <v>Amount to convert</v>
      </c>
      <c r="H27" s="237" t="s">
        <v>40</v>
      </c>
      <c r="I27" s="237"/>
      <c r="J27" s="237" t="str">
        <f>IF('Instructions 说明'!$L$2="English", "Converted amount", IF('Instructions 说明'!$L$2="Chinese", "转换后数额"))</f>
        <v>Converted amount</v>
      </c>
      <c r="K27" s="238"/>
      <c r="N27" s="164" t="s">
        <v>178</v>
      </c>
      <c r="O27" s="112"/>
      <c r="P27" s="114"/>
      <c r="Q27" s="48">
        <f>IF($P$23="bbl",0.159,IF($P$23="m3",1,IF($P$23="ft3",0.02832,IF($P$23="galus",0.003785,IF($P$23="galuk",0.004546,IF($P$23="l",0.001))))))</f>
        <v>1</v>
      </c>
      <c r="R27" s="41">
        <v>277.77800000000002</v>
      </c>
      <c r="S27" s="49">
        <f>O27*P27*Q27*R27</f>
        <v>0</v>
      </c>
      <c r="T27" s="49">
        <f t="shared" ref="T27:T38" si="0">O27*Q27*$V$24*R27*$V$25/1000000</f>
        <v>0</v>
      </c>
      <c r="U27" s="49">
        <f>S27</f>
        <v>0</v>
      </c>
      <c r="V27" s="50">
        <f>T27</f>
        <v>0</v>
      </c>
      <c r="W27" s="39"/>
    </row>
    <row r="28" spans="3:23" ht="13" x14ac:dyDescent="0.3">
      <c r="C28" s="34"/>
      <c r="D28" s="35"/>
      <c r="E28" s="35"/>
      <c r="F28" s="35"/>
      <c r="G28" s="35"/>
      <c r="H28" s="40" t="s">
        <v>14</v>
      </c>
      <c r="I28" s="40" t="s">
        <v>13</v>
      </c>
      <c r="J28" s="40" t="str">
        <f>IF('Instructions 说明'!$L$2="English", "Volume", IF('Instructions 说明'!$L$2="Chinese", "体积单位"))</f>
        <v>Volume</v>
      </c>
      <c r="K28" s="51" t="str">
        <f>IF('Instructions 说明'!$L$2="English", "Mass", IF('Instructions 说明'!$L$2="Chinese", "质量单位"))</f>
        <v>Mass</v>
      </c>
      <c r="N28" s="164" t="s">
        <v>179</v>
      </c>
      <c r="O28" s="112"/>
      <c r="P28" s="114"/>
      <c r="Q28" s="48">
        <f t="shared" ref="Q28:Q39" si="1">IF($P$23="bbl",0.159,IF($P$23="m3",1,IF($P$23="ft3",0.02832,IF($P$23="galus",0.003785,IF($P$23="galuk",0.004546,IF($P$23="l",0.001))))))</f>
        <v>1</v>
      </c>
      <c r="R28" s="41">
        <v>277.77800000000002</v>
      </c>
      <c r="S28" s="49">
        <f t="shared" ref="S28:S38" si="2">O28*P28*Q28*R28</f>
        <v>0</v>
      </c>
      <c r="T28" s="49">
        <f t="shared" si="0"/>
        <v>0</v>
      </c>
      <c r="U28" s="49">
        <f t="shared" ref="U28:U39" si="3">S28</f>
        <v>0</v>
      </c>
      <c r="V28" s="50">
        <f t="shared" ref="V28:V39" si="4">T28</f>
        <v>0</v>
      </c>
      <c r="W28" s="39"/>
    </row>
    <row r="29" spans="3:23" ht="13" x14ac:dyDescent="0.3">
      <c r="C29" s="34"/>
      <c r="D29" s="35"/>
      <c r="E29" s="35"/>
      <c r="F29" s="35"/>
      <c r="G29" s="35"/>
      <c r="H29" s="40" t="s">
        <v>55</v>
      </c>
      <c r="I29" s="40" t="s">
        <v>56</v>
      </c>
      <c r="J29" s="40" t="s">
        <v>55</v>
      </c>
      <c r="K29" s="51" t="s">
        <v>56</v>
      </c>
      <c r="N29" s="164" t="s">
        <v>180</v>
      </c>
      <c r="O29" s="112"/>
      <c r="P29" s="114"/>
      <c r="Q29" s="48">
        <f t="shared" si="1"/>
        <v>1</v>
      </c>
      <c r="R29" s="41">
        <v>277.77800000000002</v>
      </c>
      <c r="S29" s="49">
        <f t="shared" si="2"/>
        <v>0</v>
      </c>
      <c r="T29" s="49">
        <f t="shared" si="0"/>
        <v>0</v>
      </c>
      <c r="U29" s="49">
        <f t="shared" si="3"/>
        <v>0</v>
      </c>
      <c r="V29" s="50">
        <f t="shared" si="4"/>
        <v>0</v>
      </c>
      <c r="W29" s="39"/>
    </row>
    <row r="30" spans="3:23" ht="13" x14ac:dyDescent="0.3">
      <c r="C30" s="37" t="s">
        <v>12</v>
      </c>
      <c r="D30" s="113" t="s">
        <v>28</v>
      </c>
      <c r="E30" s="35">
        <f>IF(D30="g", 0.001055, IF(D30="lb", 2.32583774250441E-06, IF(D30="long ton", 1.03838582677165E-09, IF(D30="short ton", 1.16304707309007E-09, IF(D30="tonne", 0.000000001055)))))</f>
        <v>1.0549999999999999E-3</v>
      </c>
      <c r="F30" s="35" t="b">
        <f>IF(D30="bbl",6.63522012578616E-09,IF(D30="m3",0.000000001055,IF(D30="ft3",3.72528248587571E-08,IF(D30="galus",2.78731836195509E-07,IF(D30="galuk",2.32072151341839E-07,IF(D30="l",0.000001055))))))</f>
        <v>0</v>
      </c>
      <c r="G30" s="112"/>
      <c r="H30" s="47">
        <f>F30*G30</f>
        <v>0</v>
      </c>
      <c r="I30" s="47">
        <f>G30*E30</f>
        <v>0</v>
      </c>
      <c r="J30" s="47">
        <f>H30</f>
        <v>0</v>
      </c>
      <c r="K30" s="52">
        <f>I30</f>
        <v>0</v>
      </c>
      <c r="N30" s="164" t="s">
        <v>181</v>
      </c>
      <c r="O30" s="112"/>
      <c r="P30" s="114"/>
      <c r="Q30" s="48">
        <f t="shared" si="1"/>
        <v>1</v>
      </c>
      <c r="R30" s="41">
        <v>277.77800000000002</v>
      </c>
      <c r="S30" s="49">
        <f t="shared" si="2"/>
        <v>0</v>
      </c>
      <c r="T30" s="49">
        <f t="shared" si="0"/>
        <v>0</v>
      </c>
      <c r="U30" s="49">
        <f t="shared" si="3"/>
        <v>0</v>
      </c>
      <c r="V30" s="50">
        <f t="shared" si="4"/>
        <v>0</v>
      </c>
      <c r="W30" s="39"/>
    </row>
    <row r="31" spans="3:23" ht="13" x14ac:dyDescent="0.3">
      <c r="C31" s="37" t="s">
        <v>35</v>
      </c>
      <c r="D31" s="113" t="s">
        <v>28</v>
      </c>
      <c r="E31" s="35">
        <f>IF(D31="g", 0.000001, IF(D31="lb", 2.20458553791887E-08, IF(D31="long ton", 9.84251968503937E-13, IF(D31="short ton", 1.10241428728916E-12, IF(D31="tonne", 0.000000000001)))))</f>
        <v>9.9999999999999995E-7</v>
      </c>
      <c r="F31" s="35" t="b">
        <f>IF(D31="bbl",6.28930817610063E-12,IF(D31="m3",0.000000000001,IF(D31="ft3",3.53107344632768E-12,IF(D31="galus",2.64200792602378E-10,IF(D31="galuk",2.1997360316762E-10,IF(D31="l",0.000000001))))))</f>
        <v>0</v>
      </c>
      <c r="G31" s="112"/>
      <c r="H31" s="47">
        <f t="shared" ref="H31:H34" si="5">F31*G31</f>
        <v>0</v>
      </c>
      <c r="I31" s="47">
        <f t="shared" ref="I31:I34" si="6">G31*E31</f>
        <v>0</v>
      </c>
      <c r="J31" s="47">
        <f t="shared" ref="J31:J34" si="7">H31</f>
        <v>0</v>
      </c>
      <c r="K31" s="52">
        <f t="shared" ref="K31:K34" si="8">I31</f>
        <v>0</v>
      </c>
      <c r="N31" s="164" t="s">
        <v>182</v>
      </c>
      <c r="O31" s="112"/>
      <c r="P31" s="114"/>
      <c r="Q31" s="48">
        <f t="shared" si="1"/>
        <v>1</v>
      </c>
      <c r="R31" s="41">
        <v>277.77800000000002</v>
      </c>
      <c r="S31" s="49">
        <f t="shared" si="2"/>
        <v>0</v>
      </c>
      <c r="T31" s="49">
        <f t="shared" si="0"/>
        <v>0</v>
      </c>
      <c r="U31" s="49">
        <f t="shared" si="3"/>
        <v>0</v>
      </c>
      <c r="V31" s="50">
        <f t="shared" si="4"/>
        <v>0</v>
      </c>
      <c r="W31" s="39"/>
    </row>
    <row r="32" spans="3:23" ht="13" x14ac:dyDescent="0.3">
      <c r="C32" s="37" t="s">
        <v>36</v>
      </c>
      <c r="D32" s="113" t="s">
        <v>22</v>
      </c>
      <c r="E32" s="35" t="b">
        <f>IF(D32="g", 4.18410041841004E-06, IF(D32="lb", 9.22420727162708E-08, IF(D32="long ton",4.11820907323823E-12, IF(D32="short ton", 4.6126120807078E-12, IF(D32="tonne", 4.18410041841004E-12)))))</f>
        <v>0</v>
      </c>
      <c r="F32" s="35">
        <f>IF(D32="bbl",2.63150969711323E-11,IF(D32="m3",4.18410041841004E-12,IF(D32="ft3",1.47743658842162E-11,IF(D32="galus",1.10544264687187E-09,IF(D32="galuk",9.20391645052803E-10,IF(D32="l",4.18410041841004E-09))))))</f>
        <v>9.2039164505280302E-10</v>
      </c>
      <c r="G32" s="112"/>
      <c r="H32" s="47">
        <f t="shared" si="5"/>
        <v>0</v>
      </c>
      <c r="I32" s="47">
        <f t="shared" si="6"/>
        <v>0</v>
      </c>
      <c r="J32" s="47">
        <f t="shared" si="7"/>
        <v>0</v>
      </c>
      <c r="K32" s="52">
        <f t="shared" si="8"/>
        <v>0</v>
      </c>
      <c r="N32" s="164" t="s">
        <v>183</v>
      </c>
      <c r="O32" s="112"/>
      <c r="P32" s="114"/>
      <c r="Q32" s="48">
        <f t="shared" si="1"/>
        <v>1</v>
      </c>
      <c r="R32" s="41">
        <v>277.77800000000002</v>
      </c>
      <c r="S32" s="49">
        <f t="shared" si="2"/>
        <v>0</v>
      </c>
      <c r="T32" s="49">
        <f t="shared" si="0"/>
        <v>0</v>
      </c>
      <c r="U32" s="49">
        <f t="shared" si="3"/>
        <v>0</v>
      </c>
      <c r="V32" s="50">
        <f t="shared" si="4"/>
        <v>0</v>
      </c>
      <c r="W32" s="39"/>
    </row>
    <row r="33" spans="3:23" ht="13" x14ac:dyDescent="0.3">
      <c r="C33" s="53" t="s">
        <v>37</v>
      </c>
      <c r="D33" s="113" t="s">
        <v>24</v>
      </c>
      <c r="E33" s="35" t="b">
        <f>IF(D33="g", 29310, IF(D33="lb", 646.164021164021, IF(D33="long ton",0.0288484251968504, IF(D33="short ton", 0.0323117627604454, IF(D33="tonne", 0.02931)))))</f>
        <v>0</v>
      </c>
      <c r="F33" s="35">
        <f>IF(D33="bbl",0.184339622641509,IF(D33="m3",0.02931,IF(D33="ft3",0.103495762711864,IF(D33="galus",7.74372523117569,IF(D33="galuk",6.44742630884294,IF(D33="l",29.31))))))</f>
        <v>2.9309999999999999E-2</v>
      </c>
      <c r="G33" s="112"/>
      <c r="H33" s="47">
        <f t="shared" si="5"/>
        <v>0</v>
      </c>
      <c r="I33" s="47">
        <f t="shared" si="6"/>
        <v>0</v>
      </c>
      <c r="J33" s="47">
        <f t="shared" si="7"/>
        <v>0</v>
      </c>
      <c r="K33" s="52">
        <f t="shared" si="8"/>
        <v>0</v>
      </c>
      <c r="N33" s="164" t="s">
        <v>184</v>
      </c>
      <c r="O33" s="112"/>
      <c r="P33" s="114"/>
      <c r="Q33" s="48">
        <f t="shared" si="1"/>
        <v>1</v>
      </c>
      <c r="R33" s="41">
        <v>277.77800000000002</v>
      </c>
      <c r="S33" s="49">
        <f t="shared" si="2"/>
        <v>0</v>
      </c>
      <c r="T33" s="49">
        <f t="shared" si="0"/>
        <v>0</v>
      </c>
      <c r="U33" s="49">
        <f t="shared" si="3"/>
        <v>0</v>
      </c>
      <c r="V33" s="50">
        <f t="shared" si="4"/>
        <v>0</v>
      </c>
      <c r="W33" s="39"/>
    </row>
    <row r="34" spans="3:23" ht="13" x14ac:dyDescent="0.3">
      <c r="C34" s="53" t="s">
        <v>38</v>
      </c>
      <c r="D34" s="113" t="s">
        <v>31</v>
      </c>
      <c r="E34" s="35">
        <f>IF(D34="g", 41870, IF(D34="lb", 923.059964726631, IF(D34="long ton",0.0412106299212598, IF(D34="short ton", 0.0461580862087973, IF(D34="tonne", 0.04187)))))</f>
        <v>4.1869999999999997E-2</v>
      </c>
      <c r="F34" s="35" t="b">
        <f>IF(D34="bbl",0.263333333333333,IF(D34="m3",0.04187,IF(D34="ft3",0.14784604519774,IF(D34="galus",11.0620871862616,IF(D34="galuk",9.21029476462824,IF(D34="l",41.87))))))</f>
        <v>0</v>
      </c>
      <c r="G34" s="112"/>
      <c r="H34" s="47">
        <f t="shared" si="5"/>
        <v>0</v>
      </c>
      <c r="I34" s="47">
        <f t="shared" si="6"/>
        <v>0</v>
      </c>
      <c r="J34" s="47">
        <f t="shared" si="7"/>
        <v>0</v>
      </c>
      <c r="K34" s="52">
        <f t="shared" si="8"/>
        <v>0</v>
      </c>
      <c r="N34" s="164" t="s">
        <v>185</v>
      </c>
      <c r="O34" s="112"/>
      <c r="P34" s="114"/>
      <c r="Q34" s="48">
        <f t="shared" si="1"/>
        <v>1</v>
      </c>
      <c r="R34" s="41">
        <v>277.77800000000002</v>
      </c>
      <c r="S34" s="49">
        <f t="shared" si="2"/>
        <v>0</v>
      </c>
      <c r="T34" s="49">
        <f t="shared" si="0"/>
        <v>0</v>
      </c>
      <c r="U34" s="49">
        <f t="shared" si="3"/>
        <v>0</v>
      </c>
      <c r="V34" s="50">
        <f t="shared" si="4"/>
        <v>0</v>
      </c>
      <c r="W34" s="39"/>
    </row>
    <row r="35" spans="3:23" ht="13" x14ac:dyDescent="0.3">
      <c r="C35" s="37"/>
      <c r="D35" s="35"/>
      <c r="E35" s="35"/>
      <c r="F35" s="35"/>
      <c r="G35" s="35"/>
      <c r="H35" s="35"/>
      <c r="I35" s="35"/>
      <c r="J35" s="35"/>
      <c r="K35" s="36"/>
      <c r="N35" s="164" t="s">
        <v>186</v>
      </c>
      <c r="O35" s="112"/>
      <c r="P35" s="114"/>
      <c r="Q35" s="48">
        <f t="shared" si="1"/>
        <v>1</v>
      </c>
      <c r="R35" s="41">
        <v>277.77800000000002</v>
      </c>
      <c r="S35" s="49">
        <f t="shared" si="2"/>
        <v>0</v>
      </c>
      <c r="T35" s="49">
        <f t="shared" si="0"/>
        <v>0</v>
      </c>
      <c r="U35" s="49">
        <f t="shared" si="3"/>
        <v>0</v>
      </c>
      <c r="V35" s="50">
        <f t="shared" si="4"/>
        <v>0</v>
      </c>
      <c r="W35" s="39"/>
    </row>
    <row r="36" spans="3:23" ht="13" x14ac:dyDescent="0.3">
      <c r="C36" s="34"/>
      <c r="D36" s="35"/>
      <c r="E36" s="35"/>
      <c r="F36" s="35"/>
      <c r="G36" s="35"/>
      <c r="H36" s="35"/>
      <c r="I36" s="35"/>
      <c r="J36" s="35"/>
      <c r="K36" s="36"/>
      <c r="N36" s="164" t="s">
        <v>187</v>
      </c>
      <c r="O36" s="112"/>
      <c r="P36" s="114"/>
      <c r="Q36" s="48">
        <f t="shared" si="1"/>
        <v>1</v>
      </c>
      <c r="R36" s="41">
        <v>277.77800000000002</v>
      </c>
      <c r="S36" s="49">
        <f t="shared" si="2"/>
        <v>0</v>
      </c>
      <c r="T36" s="49">
        <f t="shared" si="0"/>
        <v>0</v>
      </c>
      <c r="U36" s="49">
        <f t="shared" si="3"/>
        <v>0</v>
      </c>
      <c r="V36" s="50">
        <f t="shared" si="4"/>
        <v>0</v>
      </c>
      <c r="W36" s="39"/>
    </row>
    <row r="37" spans="3:23" ht="13" x14ac:dyDescent="0.3">
      <c r="C37" s="233" t="str">
        <f>IF('Instructions 说明'!$L$2="English", "Table 1.2 For Density", IF('Instructions 说明'!$L$2="Chinese", "表1.2 密度"))</f>
        <v>Table 1.2 For Density</v>
      </c>
      <c r="D37" s="234"/>
      <c r="E37" s="35"/>
      <c r="F37" s="35"/>
      <c r="G37" s="35"/>
      <c r="H37" s="35"/>
      <c r="I37" s="35"/>
      <c r="J37" s="35"/>
      <c r="K37" s="36"/>
      <c r="N37" s="164" t="s">
        <v>188</v>
      </c>
      <c r="O37" s="112"/>
      <c r="P37" s="114"/>
      <c r="Q37" s="48">
        <f t="shared" si="1"/>
        <v>1</v>
      </c>
      <c r="R37" s="41">
        <v>277.77800000000002</v>
      </c>
      <c r="S37" s="49">
        <f t="shared" si="2"/>
        <v>0</v>
      </c>
      <c r="T37" s="49">
        <f t="shared" si="0"/>
        <v>0</v>
      </c>
      <c r="U37" s="49">
        <f t="shared" si="3"/>
        <v>0</v>
      </c>
      <c r="V37" s="50">
        <f t="shared" si="4"/>
        <v>0</v>
      </c>
      <c r="W37" s="39"/>
    </row>
    <row r="38" spans="3:23" ht="13" x14ac:dyDescent="0.3">
      <c r="C38" s="34"/>
      <c r="D38" s="35"/>
      <c r="E38" s="35"/>
      <c r="F38" s="35"/>
      <c r="G38" s="35"/>
      <c r="H38" s="35"/>
      <c r="I38" s="35"/>
      <c r="J38" s="140"/>
      <c r="K38" s="141"/>
      <c r="N38" s="164" t="s">
        <v>189</v>
      </c>
      <c r="O38" s="112"/>
      <c r="P38" s="114"/>
      <c r="Q38" s="48">
        <f t="shared" si="1"/>
        <v>1</v>
      </c>
      <c r="R38" s="41">
        <v>277.77800000000002</v>
      </c>
      <c r="S38" s="49">
        <f t="shared" si="2"/>
        <v>0</v>
      </c>
      <c r="T38" s="49">
        <f t="shared" si="0"/>
        <v>0</v>
      </c>
      <c r="U38" s="49">
        <f t="shared" si="3"/>
        <v>0</v>
      </c>
      <c r="V38" s="50">
        <f t="shared" si="4"/>
        <v>0</v>
      </c>
      <c r="W38" s="39"/>
    </row>
    <row r="39" spans="3:23" ht="13.5" thickBot="1" x14ac:dyDescent="0.35">
      <c r="C39" s="54" t="str">
        <f>IF('Instructions 说明'!$L$2="English", "Mass Unit", IF('Instructions 说明'!$L$2="Chinese", "质量单位"))</f>
        <v>Mass Unit</v>
      </c>
      <c r="D39" s="46" t="str">
        <f>IF('Instructions 说明'!$L$2="English", "Volume Unit", IF('Instructions 说明'!$L$2="Chinese", "体积单位"))</f>
        <v>Volume Unit</v>
      </c>
      <c r="E39" s="46" t="s">
        <v>57</v>
      </c>
      <c r="F39" s="46"/>
      <c r="G39" s="35"/>
      <c r="H39" s="46"/>
      <c r="I39" s="46" t="s">
        <v>40</v>
      </c>
      <c r="J39" s="153" t="str">
        <f>IF('Instructions 说明'!$L$2="English", "Amount to convert", IF('Instructions 说明'!$L$2="Chinese", "要转换的数额"))</f>
        <v>Amount to convert</v>
      </c>
      <c r="K39" s="100" t="str">
        <f>IF('Instructions 说明'!$L$2="English", "Converted amount", IF('Instructions 说明'!$L$2="Chinese", "转换后数额"))</f>
        <v>Converted amount</v>
      </c>
      <c r="N39" s="165" t="s">
        <v>190</v>
      </c>
      <c r="O39" s="123">
        <f>SUM(O27:O38)</f>
        <v>0</v>
      </c>
      <c r="P39" s="122"/>
      <c r="Q39" s="125">
        <f t="shared" si="1"/>
        <v>1</v>
      </c>
      <c r="R39" s="97">
        <v>277.77800000000002</v>
      </c>
      <c r="S39" s="123">
        <f>SUM(S27:S38)</f>
        <v>0</v>
      </c>
      <c r="T39" s="123">
        <f>SUM(T27:T38)</f>
        <v>0</v>
      </c>
      <c r="U39" s="123">
        <f t="shared" si="3"/>
        <v>0</v>
      </c>
      <c r="V39" s="124">
        <f t="shared" si="4"/>
        <v>0</v>
      </c>
      <c r="W39" s="39"/>
    </row>
    <row r="40" spans="3:23" x14ac:dyDescent="0.25">
      <c r="C40" s="34"/>
      <c r="D40" s="35"/>
      <c r="E40" s="35"/>
      <c r="F40" s="35"/>
      <c r="G40" s="35"/>
      <c r="H40" s="35"/>
      <c r="I40" s="35"/>
      <c r="J40" s="35"/>
      <c r="K40" s="36"/>
      <c r="N40" s="55"/>
      <c r="O40" s="55"/>
      <c r="P40" s="55"/>
      <c r="Q40" s="55"/>
      <c r="R40" s="55"/>
      <c r="S40" s="55"/>
      <c r="T40" s="55"/>
      <c r="U40" s="55"/>
      <c r="V40" s="55"/>
    </row>
    <row r="41" spans="3:23" ht="13" thickBot="1" x14ac:dyDescent="0.3">
      <c r="C41" s="37" t="s">
        <v>58</v>
      </c>
      <c r="D41" s="113" t="s">
        <v>24</v>
      </c>
      <c r="E41" s="35">
        <f>IF(D41="bbl",0.159,IF(D41="m3",1,IF(D41="ft3",0.02832,IF(D41="galus",0.003785,IF(D41="galuk",0.004546,IF(D41="l",0.001))))))</f>
        <v>1</v>
      </c>
      <c r="F41" s="35"/>
      <c r="G41" s="35"/>
      <c r="H41" s="35"/>
      <c r="I41" s="56">
        <f>J41/E41</f>
        <v>0</v>
      </c>
      <c r="J41" s="112"/>
      <c r="K41" s="50">
        <f>I41</f>
        <v>0</v>
      </c>
      <c r="N41" s="55"/>
      <c r="O41" s="55"/>
      <c r="P41" s="55"/>
      <c r="Q41" s="55"/>
      <c r="R41" s="55"/>
      <c r="S41" s="55"/>
      <c r="T41" s="55"/>
      <c r="U41" s="55"/>
      <c r="V41" s="55"/>
    </row>
    <row r="42" spans="3:23" ht="24.65" customHeight="1" x14ac:dyDescent="0.25">
      <c r="C42" s="37" t="s">
        <v>29</v>
      </c>
      <c r="D42" s="113" t="s">
        <v>20</v>
      </c>
      <c r="E42" s="35">
        <f>IF(D42="bbl",0.350529100529101,IF(D42="m3",2.20458553791887,IF(D42="ft3",0.0624338624338624,IF(D42="galus",0.00834435626102293,IF(D42="galuk",0.0100220458553792,IF(D42="l",0.00220458553791887))))))</f>
        <v>6.2433862433862397E-2</v>
      </c>
      <c r="F42" s="35"/>
      <c r="G42" s="35"/>
      <c r="H42" s="35"/>
      <c r="I42" s="56">
        <f>J42/E42</f>
        <v>0</v>
      </c>
      <c r="J42" s="112"/>
      <c r="K42" s="50">
        <f>I42</f>
        <v>0</v>
      </c>
      <c r="N42" s="227" t="str">
        <f>IF('Instructions 说明'!$L$2="English", "Table 4. Energy conversions: From mass", IF('Instructions 说明'!$L$2="Chinese", "表 4. 能量转换：来自质量"))</f>
        <v>Table 4. Energy conversions: From mass</v>
      </c>
      <c r="O42" s="228"/>
      <c r="P42" s="228"/>
      <c r="Q42" s="228"/>
      <c r="R42" s="228"/>
      <c r="S42" s="228"/>
      <c r="T42" s="228"/>
      <c r="U42" s="228"/>
      <c r="V42" s="229"/>
    </row>
    <row r="43" spans="3:23" ht="25.5" customHeight="1" x14ac:dyDescent="0.25">
      <c r="C43" s="34"/>
      <c r="D43" s="35"/>
      <c r="E43" s="35"/>
      <c r="F43" s="35"/>
      <c r="G43" s="35"/>
      <c r="H43" s="35"/>
      <c r="I43" s="35"/>
      <c r="J43" s="35"/>
      <c r="K43" s="36"/>
      <c r="N43" s="235" t="str">
        <f>IF('Instructions 说明'!$L$2="English", "How do you procure/obtain this energy?", IF('Instructions 说明'!$L$2="Chinese", "你如何购买/获得这种能量？"))</f>
        <v>How do you procure/obtain this energy?</v>
      </c>
      <c r="O43" s="236"/>
      <c r="P43" s="126" t="s">
        <v>31</v>
      </c>
      <c r="Q43" s="57"/>
      <c r="R43" s="57"/>
      <c r="S43" s="57"/>
      <c r="T43" s="57"/>
      <c r="U43" s="32"/>
      <c r="V43" s="33"/>
    </row>
    <row r="44" spans="3:23" ht="29.15" customHeight="1" x14ac:dyDescent="0.25">
      <c r="C44" s="34"/>
      <c r="D44" s="35"/>
      <c r="E44" s="35"/>
      <c r="F44" s="35"/>
      <c r="G44" s="35"/>
      <c r="H44" s="35"/>
      <c r="I44" s="35"/>
      <c r="J44" s="35"/>
      <c r="K44" s="36"/>
      <c r="N44" s="37"/>
      <c r="O44" s="38"/>
      <c r="P44" s="38"/>
      <c r="Q44" s="38"/>
      <c r="R44" s="35"/>
      <c r="S44" s="35"/>
      <c r="T44" s="35"/>
      <c r="U44" s="115" t="str">
        <f>IF('Instructions 说明'!$L$2="English", "Write Heat Value in TJ/GG", IF('Instructions 说明'!$L$2="Chinese", "写入热值（TJ/GG）"))</f>
        <v>Write Heat Value in TJ/GG</v>
      </c>
      <c r="V44" s="116">
        <v>0</v>
      </c>
      <c r="W44" s="127" t="str">
        <f>IF('Instructions 说明'!$L$2="English", "Option 1: Use HV from invoice in TJ/M3, this has monthly variations change in column P", IF('Instructions 说明'!$L$2="Chinese", "选项1：使用发票中的热值（单位：TJ/M3），这在P列中有每月变化"))</f>
        <v>Option 1: Use HV from invoice in TJ/M3, this has monthly variations change in column P</v>
      </c>
    </row>
    <row r="45" spans="3:23" x14ac:dyDescent="0.25">
      <c r="C45" s="233" t="str">
        <f>IF('Instructions 说明'!$L$2="English", "Table 1.3 For Energy Carriers", IF('Instructions 说明'!$L$2="Chinese", "表1.3 能源载体"))</f>
        <v>Table 1.3 For Energy Carriers</v>
      </c>
      <c r="D45" s="234"/>
      <c r="E45" s="35"/>
      <c r="F45" s="35"/>
      <c r="G45" s="35"/>
      <c r="H45" s="35"/>
      <c r="I45" s="35"/>
      <c r="J45" s="35"/>
      <c r="K45" s="36"/>
      <c r="N45" s="37"/>
      <c r="O45" s="38"/>
      <c r="P45" s="38"/>
      <c r="Q45" s="38"/>
      <c r="R45" s="35"/>
      <c r="S45" s="35"/>
      <c r="T45" s="35"/>
      <c r="U45" s="115" t="str">
        <f>IF('Instructions 说明'!$L$2="English", "No density needed for this conversion", IF('Instructions 说明'!$L$2="Chinese", "这个转换不需密度"))</f>
        <v>No density needed for this conversion</v>
      </c>
      <c r="V45" s="117"/>
      <c r="W45" s="127" t="str">
        <f>IF('Instructions 说明'!$L$2="English", "Option 2: Use HV from tables, density will be needed, according to location in can be LHV or HHV", IF('Instructions 说明'!$L$2="Chinese", "选项2：使用表中的HV，需要密度。根据位置，可以是较低热值或较高热值）"))</f>
        <v>Option 2: Use HV from tables, density will be needed, according to location in can be LHV or HHV</v>
      </c>
    </row>
    <row r="46" spans="3:23" x14ac:dyDescent="0.25">
      <c r="C46" s="34"/>
      <c r="D46" s="35"/>
      <c r="E46" s="35"/>
      <c r="F46" s="35"/>
      <c r="G46" s="35"/>
      <c r="H46" s="35"/>
      <c r="I46" s="35"/>
      <c r="J46" s="35"/>
      <c r="K46" s="36"/>
      <c r="N46" s="37" t="str">
        <f>IF('Instructions 说明'!$L$2="English", "Timeline", IF('Instructions 说明'!$L$2="Chinese", "时间线"))</f>
        <v>Timeline</v>
      </c>
      <c r="O46" s="40" t="str">
        <f>IF('Instructions 说明'!$L$2="English", "Consumption", IF('Instructions 说明'!$L$2="Chinese", "时间线"))</f>
        <v>Consumption</v>
      </c>
      <c r="P46" s="40" t="s">
        <v>68</v>
      </c>
      <c r="Q46" s="40" t="s">
        <v>34</v>
      </c>
      <c r="R46" s="40" t="s">
        <v>25</v>
      </c>
      <c r="S46" s="41" t="s">
        <v>26</v>
      </c>
      <c r="T46" s="42" t="s">
        <v>27</v>
      </c>
      <c r="U46" s="41" t="s">
        <v>191</v>
      </c>
      <c r="V46" s="43" t="s">
        <v>192</v>
      </c>
    </row>
    <row r="47" spans="3:23" x14ac:dyDescent="0.25">
      <c r="C47" s="34"/>
      <c r="D47" s="35"/>
      <c r="E47" s="35"/>
      <c r="F47" s="35"/>
      <c r="G47" s="35"/>
      <c r="H47" s="35"/>
      <c r="I47" s="35"/>
      <c r="J47" s="35"/>
      <c r="K47" s="36"/>
      <c r="N47" s="164" t="s">
        <v>178</v>
      </c>
      <c r="O47" s="112"/>
      <c r="P47" s="118"/>
      <c r="Q47" s="58">
        <f>IF($P$43="g", 0.000001, IF($P$43="lb", 0.0004536, IF($P$43="long ton", 1.016, IF($P$43="short ton", 0.9071, IF($P$43="tonne", 1)))))</f>
        <v>1</v>
      </c>
      <c r="R47" s="41">
        <v>277.77800000000002</v>
      </c>
      <c r="S47" s="49">
        <f>O47*Q47*P47*R47</f>
        <v>0</v>
      </c>
      <c r="T47" s="49">
        <f t="shared" ref="T47:T58" si="9">O47*Q47*$V$44*R47</f>
        <v>0</v>
      </c>
      <c r="U47" s="49">
        <f>S47</f>
        <v>0</v>
      </c>
      <c r="V47" s="50">
        <f>T47</f>
        <v>0</v>
      </c>
    </row>
    <row r="48" spans="3:23" x14ac:dyDescent="0.25">
      <c r="C48" s="44" t="str">
        <f>IF('Instructions 说明'!$L$2="English", "Energy Carrier", IF('Instructions 说明'!$L$2="Chinese", "能源载体"))</f>
        <v>Energy Carrier</v>
      </c>
      <c r="D48" s="46" t="str">
        <f>IF('Instructions 说明'!$L$2="English", "Energy Unit", IF('Instructions 说明'!$L$2="Chinese", "能量单位"))</f>
        <v>Energy Unit</v>
      </c>
      <c r="E48" s="46" t="s">
        <v>50</v>
      </c>
      <c r="F48" s="59"/>
      <c r="G48" s="35"/>
      <c r="H48" s="35"/>
      <c r="I48" s="60" t="s">
        <v>40</v>
      </c>
      <c r="J48" s="153" t="str">
        <f>IF('Instructions 说明'!$L$2="English", "Amount to convert", IF('Instructions 说明'!$L$2="Chinese", "要转换的数额"))</f>
        <v>Amount to convert</v>
      </c>
      <c r="K48" s="154" t="str">
        <f>IF('Instructions 说明'!$L$2="English", "Converted amount", IF('Instructions 说明'!$L$2="Chinese", "转换后数额"))</f>
        <v>Converted amount</v>
      </c>
      <c r="N48" s="164" t="s">
        <v>179</v>
      </c>
      <c r="O48" s="112"/>
      <c r="P48" s="118"/>
      <c r="Q48" s="58">
        <f t="shared" ref="Q48:Q58" si="10">IF($P$43="g", 0.000001, IF($P$43="lb", 0.0004536, IF($P$43="long ton", 1.016, IF($P$43="short ton", 0.9071, IF($P$43="tonne", 1)))))</f>
        <v>1</v>
      </c>
      <c r="R48" s="41">
        <v>277.77800000000002</v>
      </c>
      <c r="S48" s="49">
        <f t="shared" ref="S48:S58" si="11">O48*Q48*P48*R48</f>
        <v>0</v>
      </c>
      <c r="T48" s="49">
        <f t="shared" si="9"/>
        <v>0</v>
      </c>
      <c r="U48" s="49">
        <f t="shared" ref="U48:U59" si="12">S48</f>
        <v>0</v>
      </c>
      <c r="V48" s="50">
        <f t="shared" ref="V48:V59" si="13">T48</f>
        <v>0</v>
      </c>
    </row>
    <row r="49" spans="3:22" x14ac:dyDescent="0.25">
      <c r="C49" s="34"/>
      <c r="D49" s="35"/>
      <c r="E49" s="35"/>
      <c r="F49" s="35"/>
      <c r="G49" s="35"/>
      <c r="H49" s="35"/>
      <c r="I49" s="40" t="s">
        <v>54</v>
      </c>
      <c r="J49" s="61"/>
      <c r="K49" s="51" t="s">
        <v>54</v>
      </c>
      <c r="N49" s="164" t="s">
        <v>180</v>
      </c>
      <c r="O49" s="112"/>
      <c r="P49" s="118"/>
      <c r="Q49" s="58">
        <f t="shared" si="10"/>
        <v>1</v>
      </c>
      <c r="R49" s="41">
        <v>277.77800000000002</v>
      </c>
      <c r="S49" s="49">
        <f t="shared" si="11"/>
        <v>0</v>
      </c>
      <c r="T49" s="49">
        <f t="shared" si="9"/>
        <v>0</v>
      </c>
      <c r="U49" s="49">
        <f t="shared" si="12"/>
        <v>0</v>
      </c>
      <c r="V49" s="50">
        <f t="shared" si="13"/>
        <v>0</v>
      </c>
    </row>
    <row r="50" spans="3:22" x14ac:dyDescent="0.25">
      <c r="C50" s="37" t="s">
        <v>169</v>
      </c>
      <c r="D50" s="113" t="s">
        <v>79</v>
      </c>
      <c r="E50" s="35">
        <f>IF(D50="btu",0.00000029283,IF(D50="btu/hr",0.00000029283,IF(D50="TOR",0.00351396,IF(D50="ft-pound/hrs",0.000000000376554,IF(D50="HP/hr",0.0007457,IF(D50="GJ",0.277778,IF(D50="others",0)))))))</f>
        <v>0.27777800000000002</v>
      </c>
      <c r="F50" s="35"/>
      <c r="G50" s="35"/>
      <c r="H50" s="35"/>
      <c r="I50" s="35">
        <f t="shared" ref="I50:I58" si="14">J50*E50</f>
        <v>0</v>
      </c>
      <c r="J50" s="112"/>
      <c r="K50" s="142">
        <f>I50</f>
        <v>0</v>
      </c>
      <c r="N50" s="164" t="s">
        <v>181</v>
      </c>
      <c r="O50" s="112"/>
      <c r="P50" s="118"/>
      <c r="Q50" s="58">
        <f t="shared" si="10"/>
        <v>1</v>
      </c>
      <c r="R50" s="41">
        <v>277.77800000000002</v>
      </c>
      <c r="S50" s="49">
        <f t="shared" si="11"/>
        <v>0</v>
      </c>
      <c r="T50" s="49">
        <f t="shared" si="9"/>
        <v>0</v>
      </c>
      <c r="U50" s="49">
        <f t="shared" si="12"/>
        <v>0</v>
      </c>
      <c r="V50" s="50">
        <f t="shared" si="13"/>
        <v>0</v>
      </c>
    </row>
    <row r="51" spans="3:22" x14ac:dyDescent="0.25">
      <c r="C51" s="37" t="s">
        <v>169</v>
      </c>
      <c r="D51" s="113" t="s">
        <v>45</v>
      </c>
      <c r="E51" s="35">
        <f>IF(D51="btu",0.00000029283,IF(D51="btu/hr",0.00000029283,IF(D51="TOR",0.00351396,IF(D51="ft-pound/hrs",0.000000000376554,IF(D51="HP/hr",0.0007457,IF(D51="GJ",0.277778,IF(D51="others",0)))))))</f>
        <v>2.9283000000000001E-7</v>
      </c>
      <c r="F51" s="35"/>
      <c r="G51" s="35"/>
      <c r="H51" s="35"/>
      <c r="I51" s="35">
        <f t="shared" si="14"/>
        <v>0</v>
      </c>
      <c r="J51" s="112"/>
      <c r="K51" s="142">
        <f t="shared" ref="K51:K58" si="15">I51</f>
        <v>0</v>
      </c>
      <c r="N51" s="164" t="s">
        <v>182</v>
      </c>
      <c r="O51" s="112"/>
      <c r="P51" s="118"/>
      <c r="Q51" s="58">
        <f t="shared" si="10"/>
        <v>1</v>
      </c>
      <c r="R51" s="41">
        <v>277.77800000000002</v>
      </c>
      <c r="S51" s="49">
        <f t="shared" si="11"/>
        <v>0</v>
      </c>
      <c r="T51" s="49">
        <f t="shared" si="9"/>
        <v>0</v>
      </c>
      <c r="U51" s="49">
        <f t="shared" si="12"/>
        <v>0</v>
      </c>
      <c r="V51" s="50">
        <f t="shared" si="13"/>
        <v>0</v>
      </c>
    </row>
    <row r="52" spans="3:22" x14ac:dyDescent="0.25">
      <c r="C52" s="37" t="s">
        <v>169</v>
      </c>
      <c r="D52" s="113" t="s">
        <v>79</v>
      </c>
      <c r="E52" s="35">
        <f t="shared" ref="E52:E58" si="16">IF(D52="btu",0.00000029283,IF(D52="btu/hr",0.00000029283,IF(D52="TOR",0.00351396,IF(D52="ft-pound/hrs",0.000000000376554,IF(D52="HP/hr",0.0007457,IF(D52="GJ", 0.277778,IF(D52="others",0)))))))</f>
        <v>0.27777800000000002</v>
      </c>
      <c r="F52" s="35"/>
      <c r="G52" s="35"/>
      <c r="H52" s="35"/>
      <c r="I52" s="35">
        <f t="shared" si="14"/>
        <v>0</v>
      </c>
      <c r="J52" s="112"/>
      <c r="K52" s="142">
        <f t="shared" si="15"/>
        <v>0</v>
      </c>
      <c r="N52" s="164" t="s">
        <v>183</v>
      </c>
      <c r="O52" s="112"/>
      <c r="P52" s="118"/>
      <c r="Q52" s="58">
        <f t="shared" si="10"/>
        <v>1</v>
      </c>
      <c r="R52" s="41">
        <v>277.77800000000002</v>
      </c>
      <c r="S52" s="49">
        <f t="shared" si="11"/>
        <v>0</v>
      </c>
      <c r="T52" s="49">
        <f t="shared" si="9"/>
        <v>0</v>
      </c>
      <c r="U52" s="49">
        <f t="shared" si="12"/>
        <v>0</v>
      </c>
      <c r="V52" s="50">
        <f t="shared" si="13"/>
        <v>0</v>
      </c>
    </row>
    <row r="53" spans="3:22" x14ac:dyDescent="0.25">
      <c r="C53" s="37" t="s">
        <v>169</v>
      </c>
      <c r="D53" s="113" t="s">
        <v>79</v>
      </c>
      <c r="E53" s="35">
        <f t="shared" si="16"/>
        <v>0.27777800000000002</v>
      </c>
      <c r="F53" s="35"/>
      <c r="G53" s="35"/>
      <c r="H53" s="35"/>
      <c r="I53" s="35">
        <f t="shared" si="14"/>
        <v>0</v>
      </c>
      <c r="J53" s="112"/>
      <c r="K53" s="142">
        <f t="shared" si="15"/>
        <v>0</v>
      </c>
      <c r="N53" s="164" t="s">
        <v>184</v>
      </c>
      <c r="O53" s="112"/>
      <c r="P53" s="118"/>
      <c r="Q53" s="58">
        <f t="shared" si="10"/>
        <v>1</v>
      </c>
      <c r="R53" s="41">
        <v>277.77800000000002</v>
      </c>
      <c r="S53" s="49">
        <f t="shared" si="11"/>
        <v>0</v>
      </c>
      <c r="T53" s="49">
        <f t="shared" si="9"/>
        <v>0</v>
      </c>
      <c r="U53" s="49">
        <f t="shared" si="12"/>
        <v>0</v>
      </c>
      <c r="V53" s="50">
        <f t="shared" si="13"/>
        <v>0</v>
      </c>
    </row>
    <row r="54" spans="3:22" x14ac:dyDescent="0.25">
      <c r="C54" s="37" t="s">
        <v>173</v>
      </c>
      <c r="D54" s="113" t="s">
        <v>48</v>
      </c>
      <c r="E54" s="35">
        <f t="shared" si="16"/>
        <v>7.4569999999999997E-4</v>
      </c>
      <c r="F54" s="35"/>
      <c r="G54" s="35"/>
      <c r="H54" s="35"/>
      <c r="I54" s="35">
        <f t="shared" si="14"/>
        <v>0</v>
      </c>
      <c r="J54" s="112"/>
      <c r="K54" s="142">
        <f t="shared" si="15"/>
        <v>0</v>
      </c>
      <c r="N54" s="164" t="s">
        <v>185</v>
      </c>
      <c r="O54" s="112"/>
      <c r="P54" s="118"/>
      <c r="Q54" s="58">
        <f t="shared" si="10"/>
        <v>1</v>
      </c>
      <c r="R54" s="41">
        <v>277.77800000000002</v>
      </c>
      <c r="S54" s="49">
        <f t="shared" si="11"/>
        <v>0</v>
      </c>
      <c r="T54" s="49">
        <f t="shared" si="9"/>
        <v>0</v>
      </c>
      <c r="U54" s="49">
        <f t="shared" si="12"/>
        <v>0</v>
      </c>
      <c r="V54" s="50">
        <f t="shared" si="13"/>
        <v>0</v>
      </c>
    </row>
    <row r="55" spans="3:22" x14ac:dyDescent="0.25">
      <c r="C55" s="37" t="s">
        <v>173</v>
      </c>
      <c r="D55" s="113" t="s">
        <v>46</v>
      </c>
      <c r="E55" s="35">
        <f t="shared" si="16"/>
        <v>2.9283000000000001E-7</v>
      </c>
      <c r="F55" s="35"/>
      <c r="G55" s="35"/>
      <c r="H55" s="35"/>
      <c r="I55" s="35">
        <f t="shared" si="14"/>
        <v>0</v>
      </c>
      <c r="J55" s="112"/>
      <c r="K55" s="142">
        <f t="shared" si="15"/>
        <v>0</v>
      </c>
      <c r="N55" s="164" t="s">
        <v>186</v>
      </c>
      <c r="O55" s="112"/>
      <c r="P55" s="118"/>
      <c r="Q55" s="58">
        <f t="shared" si="10"/>
        <v>1</v>
      </c>
      <c r="R55" s="41">
        <v>277.77800000000002</v>
      </c>
      <c r="S55" s="49">
        <f t="shared" si="11"/>
        <v>0</v>
      </c>
      <c r="T55" s="49">
        <f t="shared" si="9"/>
        <v>0</v>
      </c>
      <c r="U55" s="49">
        <f t="shared" si="12"/>
        <v>0</v>
      </c>
      <c r="V55" s="50">
        <f t="shared" si="13"/>
        <v>0</v>
      </c>
    </row>
    <row r="56" spans="3:22" x14ac:dyDescent="0.25">
      <c r="C56" s="37" t="s">
        <v>173</v>
      </c>
      <c r="D56" s="113" t="s">
        <v>79</v>
      </c>
      <c r="E56" s="35">
        <f t="shared" si="16"/>
        <v>0.27777800000000002</v>
      </c>
      <c r="F56" s="35"/>
      <c r="G56" s="35"/>
      <c r="H56" s="35"/>
      <c r="I56" s="35">
        <f t="shared" si="14"/>
        <v>0</v>
      </c>
      <c r="J56" s="112"/>
      <c r="K56" s="142">
        <f t="shared" si="15"/>
        <v>0</v>
      </c>
      <c r="N56" s="164" t="s">
        <v>187</v>
      </c>
      <c r="O56" s="112"/>
      <c r="P56" s="118"/>
      <c r="Q56" s="58">
        <f t="shared" si="10"/>
        <v>1</v>
      </c>
      <c r="R56" s="41">
        <v>277.77800000000002</v>
      </c>
      <c r="S56" s="49">
        <f t="shared" si="11"/>
        <v>0</v>
      </c>
      <c r="T56" s="49">
        <f t="shared" si="9"/>
        <v>0</v>
      </c>
      <c r="U56" s="49">
        <f t="shared" si="12"/>
        <v>0</v>
      </c>
      <c r="V56" s="50">
        <f t="shared" si="13"/>
        <v>0</v>
      </c>
    </row>
    <row r="57" spans="3:22" x14ac:dyDescent="0.25">
      <c r="C57" s="37" t="s">
        <v>173</v>
      </c>
      <c r="D57" s="113" t="s">
        <v>44</v>
      </c>
      <c r="E57" s="35">
        <f t="shared" si="16"/>
        <v>3.51396E-3</v>
      </c>
      <c r="F57" s="35"/>
      <c r="G57" s="35"/>
      <c r="H57" s="35"/>
      <c r="I57" s="35">
        <f t="shared" si="14"/>
        <v>0</v>
      </c>
      <c r="J57" s="112"/>
      <c r="K57" s="142">
        <f t="shared" si="15"/>
        <v>0</v>
      </c>
      <c r="N57" s="164" t="s">
        <v>188</v>
      </c>
      <c r="O57" s="112"/>
      <c r="P57" s="118"/>
      <c r="Q57" s="58">
        <f t="shared" si="10"/>
        <v>1</v>
      </c>
      <c r="R57" s="41">
        <v>277.77800000000002</v>
      </c>
      <c r="S57" s="49">
        <f t="shared" si="11"/>
        <v>0</v>
      </c>
      <c r="T57" s="49">
        <f t="shared" si="9"/>
        <v>0</v>
      </c>
      <c r="U57" s="49">
        <f t="shared" si="12"/>
        <v>0</v>
      </c>
      <c r="V57" s="50">
        <f t="shared" si="13"/>
        <v>0</v>
      </c>
    </row>
    <row r="58" spans="3:22" x14ac:dyDescent="0.25">
      <c r="C58" s="37" t="s">
        <v>173</v>
      </c>
      <c r="D58" s="113" t="s">
        <v>79</v>
      </c>
      <c r="E58" s="35">
        <f t="shared" si="16"/>
        <v>0.27777800000000002</v>
      </c>
      <c r="F58" s="35"/>
      <c r="G58" s="35"/>
      <c r="H58" s="35"/>
      <c r="I58" s="35">
        <f t="shared" si="14"/>
        <v>0</v>
      </c>
      <c r="J58" s="112"/>
      <c r="K58" s="142">
        <f t="shared" si="15"/>
        <v>0</v>
      </c>
      <c r="N58" s="164" t="s">
        <v>189</v>
      </c>
      <c r="O58" s="112"/>
      <c r="P58" s="118"/>
      <c r="Q58" s="58">
        <f t="shared" si="10"/>
        <v>1</v>
      </c>
      <c r="R58" s="41">
        <v>277.77800000000002</v>
      </c>
      <c r="S58" s="49">
        <f t="shared" si="11"/>
        <v>0</v>
      </c>
      <c r="T58" s="49">
        <f t="shared" si="9"/>
        <v>0</v>
      </c>
      <c r="U58" s="49">
        <f t="shared" si="12"/>
        <v>0</v>
      </c>
      <c r="V58" s="50">
        <f t="shared" si="13"/>
        <v>0</v>
      </c>
    </row>
    <row r="59" spans="3:22" ht="13" thickBot="1" x14ac:dyDescent="0.3">
      <c r="C59" s="62"/>
      <c r="D59" s="63"/>
      <c r="E59" s="63"/>
      <c r="F59" s="63"/>
      <c r="G59" s="63"/>
      <c r="H59" s="63"/>
      <c r="I59" s="63"/>
      <c r="J59" s="63"/>
      <c r="K59" s="64"/>
      <c r="N59" s="119" t="s">
        <v>190</v>
      </c>
      <c r="O59" s="120">
        <f>SUM(O47:O58)</f>
        <v>0</v>
      </c>
      <c r="P59" s="121">
        <f>$V$44</f>
        <v>0</v>
      </c>
      <c r="Q59" s="122">
        <f>IF($P$43="g", 0.000001, IF($P$43="lb", 0.0004536, IF($P$43="long ton", 1.016, IF($P$43="short ton", 0.9071, IF($P$43="tonne", 1)))))</f>
        <v>1</v>
      </c>
      <c r="R59" s="97">
        <v>277.77800000000002</v>
      </c>
      <c r="S59" s="123">
        <f>SUM(S47:S58)</f>
        <v>0</v>
      </c>
      <c r="T59" s="123">
        <f>SUM(T47:T58)</f>
        <v>0</v>
      </c>
      <c r="U59" s="123">
        <f t="shared" si="12"/>
        <v>0</v>
      </c>
      <c r="V59" s="124">
        <f t="shared" si="13"/>
        <v>0</v>
      </c>
    </row>
    <row r="60" spans="3:22" x14ac:dyDescent="0.25">
      <c r="G60" s="55"/>
      <c r="H60" s="55"/>
      <c r="I60" s="55"/>
      <c r="J60" s="55"/>
      <c r="K60" s="55"/>
    </row>
    <row r="61" spans="3:22" ht="13" thickBot="1" x14ac:dyDescent="0.3">
      <c r="H61" s="65"/>
      <c r="I61" s="65"/>
      <c r="J61" s="65"/>
      <c r="K61" s="65"/>
    </row>
    <row r="62" spans="3:22" ht="15" x14ac:dyDescent="0.3">
      <c r="C62" s="227" t="str">
        <f>IF('Instructions 说明'!$L$2="English", "Table 2. International System", IF('Instructions 说明'!$L$2="Chinese", "表2. 国际体系"))</f>
        <v>Table 2. International System</v>
      </c>
      <c r="D62" s="228"/>
      <c r="E62" s="228"/>
      <c r="F62" s="228"/>
      <c r="G62" s="228"/>
      <c r="H62" s="228"/>
      <c r="I62" s="228"/>
      <c r="J62" s="228"/>
      <c r="K62" s="229"/>
      <c r="N62" s="66" t="str">
        <f>IF('Instructions 说明'!$L$2="English", "Examples of invoices for reference: ", IF('Instructions 说明'!$L$2="Chinese", "供参考的发票示例："))</f>
        <v xml:space="preserve">Examples of invoices for reference: </v>
      </c>
    </row>
    <row r="63" spans="3:22" ht="15" x14ac:dyDescent="0.3">
      <c r="C63" s="230" t="str">
        <f>IF('Instructions 说明'!$L$2="English", "For obtaining any number into international system ", IF('Instructions 说明'!$L$2="Chinese", "获取任何号码进入国际系统"))</f>
        <v xml:space="preserve">For obtaining any number into international system </v>
      </c>
      <c r="D63" s="231"/>
      <c r="E63" s="231"/>
      <c r="F63" s="231"/>
      <c r="G63" s="231"/>
      <c r="H63" s="231"/>
      <c r="I63" s="231"/>
      <c r="J63" s="231"/>
      <c r="K63" s="232"/>
      <c r="N63" s="66"/>
    </row>
    <row r="64" spans="3:22" ht="12.65" customHeight="1" x14ac:dyDescent="0.25">
      <c r="C64" s="239" t="str">
        <f>IF('Instructions 说明'!$L$2="English", "In which prefix do you have your numbers?", IF('Instructions 说明'!$L$2="Chinese", "您的数据前缀？"))</f>
        <v>In which prefix do you have your numbers?</v>
      </c>
      <c r="D64" s="240" t="s">
        <v>82</v>
      </c>
      <c r="E64" s="55"/>
      <c r="F64" s="55"/>
      <c r="G64" s="55"/>
      <c r="H64" s="55"/>
      <c r="I64" s="55"/>
      <c r="J64" s="241" t="str">
        <f>IF('Instructions 说明'!$L$2="English", "Amount to convert", IF('Instructions 说明'!$L$2="Chinese", "要转换的数额"))</f>
        <v>Amount to convert</v>
      </c>
      <c r="K64" s="242">
        <v>234567</v>
      </c>
    </row>
    <row r="65" spans="3:14" ht="14" x14ac:dyDescent="0.3">
      <c r="C65" s="239"/>
      <c r="D65" s="240"/>
      <c r="E65" s="55"/>
      <c r="F65" s="55"/>
      <c r="G65" s="55"/>
      <c r="H65" s="65"/>
      <c r="I65" s="65"/>
      <c r="J65" s="241"/>
      <c r="K65" s="242"/>
      <c r="N65" s="70" t="str">
        <f>IF('Instructions 说明'!$L$2="English", "Americas invoice", IF('Instructions 说明'!$L$2="Chinese", "美洲发票"))</f>
        <v>Americas invoice</v>
      </c>
    </row>
    <row r="66" spans="3:14" x14ac:dyDescent="0.25">
      <c r="C66" s="239"/>
      <c r="D66" s="240"/>
      <c r="E66" s="55"/>
      <c r="F66" s="55"/>
      <c r="G66" s="55"/>
      <c r="H66" s="74" t="s">
        <v>94</v>
      </c>
      <c r="I66" s="65" t="s">
        <v>95</v>
      </c>
      <c r="J66" s="241"/>
      <c r="K66" s="242"/>
    </row>
    <row r="67" spans="3:14" x14ac:dyDescent="0.25">
      <c r="C67" s="73"/>
      <c r="D67" s="55"/>
      <c r="E67" s="55" t="s">
        <v>94</v>
      </c>
      <c r="F67" s="55" t="s">
        <v>95</v>
      </c>
      <c r="G67" s="55"/>
      <c r="H67" s="134">
        <f>IF($D$64="none",1,IF($D$64="DECA",10,IF($D$64="HECTO",100,IF($D$64="kilo",1000,IF($D$64="MEGA",1000000,IF($D$64="Giga",1000000000,IF($D$64="Tera",1000000000000,IF($D$64="PETA",1000000000000000,IF($D$64="DECI",0.1,IF($D$64="centi",0.01,IF($D$64="mili",0.001,IF($D$64="micro",0.000001,IF($D$64="nano",0.000000001,IF($D$64="pico",0.000000000001,IF($D$64="femto",0.000000000000001)))))))))))))))</f>
        <v>1000</v>
      </c>
      <c r="I67" s="65">
        <f t="shared" ref="I67:I74" si="17">H67*$K$64</f>
        <v>234567000</v>
      </c>
      <c r="J67" s="65" t="s">
        <v>112</v>
      </c>
      <c r="K67" s="138">
        <f>I67</f>
        <v>234567000</v>
      </c>
    </row>
    <row r="68" spans="3:14" x14ac:dyDescent="0.25">
      <c r="C68" s="93" t="s">
        <v>80</v>
      </c>
      <c r="D68" s="78">
        <f t="shared" ref="D68:D74" si="18">F68</f>
        <v>23456700</v>
      </c>
      <c r="E68" s="136">
        <f>IF($D$64="none",0.1,IF($D$64="DECA",1,IF($D$64="HECTO",10,IF($D$64="kilo",100,IF($D$64="MEGA",100000,IF($D$64="Giga",100000000,IF($D$64="Tera",100000000000,IF($D$64="PETA",100000000000000,IF($D$64="DECI",0.01,IF($D$64="centi",0.001,IF($D$64="mili",0.0001,IF($D$64="micro",0.0000001,IF($D$64="nano",0.0000000001,IF($D$64="pico",0.0000000000001,IF($D$64="femto",0.0000000000000001)))))))))))))))</f>
        <v>100</v>
      </c>
      <c r="F68" s="55">
        <f t="shared" ref="F68:F74" si="19">E68*$K$64</f>
        <v>23456700</v>
      </c>
      <c r="G68" s="55"/>
      <c r="H68" s="134">
        <f>IF($D$64="none",10,IF($D$64="DECA",100,IF($D$64="HECTO",1000,IF($D$64="kilo",10000,IF($D$64="MEGA",10000000,IF($D$64="Giga",10000000000,IF($D$64="Tera",10000000000000,IF($D$64="PETA",10000000000000000,IF($D$64="DECI",1,IF($D$64="centi",0.1,IF($D$64="mili",0.01,IF($D$64="micro",0.00001,IF($D$64="nano",0.00000001,IF($D$64="pico",0.00000000001,IF($D$64="femto",0.00000000000001)))))))))))))))</f>
        <v>10000</v>
      </c>
      <c r="I68" s="65">
        <f t="shared" si="17"/>
        <v>2345670000</v>
      </c>
      <c r="J68" s="95" t="s">
        <v>87</v>
      </c>
      <c r="K68" s="139">
        <f t="shared" ref="K68:K74" si="20">I68</f>
        <v>2345670000</v>
      </c>
    </row>
    <row r="69" spans="3:14" x14ac:dyDescent="0.25">
      <c r="C69" s="93" t="s">
        <v>81</v>
      </c>
      <c r="D69" s="78">
        <f t="shared" si="18"/>
        <v>2345670</v>
      </c>
      <c r="E69" s="136">
        <f>IF($D$64="none",0.01,IF($D$64="DECA",0.1,IF($D$64="HECTO",1,IF($D$64="kilo",10,IF($D$64="MEGA",10000,IF($D$64="Giga",10000000,IF($D$64="Tera",10000000000,IF($D$64="PETA",10000000000000,IF($D$64="DECI",0.001,IF($D$64="centi",0.0001,IF($D$64="mili",0.00001,IF($D$64="micro",0.00000001,IF($D$64="nano",0.00000000001,IF($D$64="pico",0.00000000000001,IF($D$64="femto",0.00000000000000001)))))))))))))))</f>
        <v>10</v>
      </c>
      <c r="F69" s="55">
        <f t="shared" si="19"/>
        <v>2345670</v>
      </c>
      <c r="G69" s="55"/>
      <c r="H69" s="134">
        <f>IF($D$64="none",100,IF($D$64="DECA",1000,IF($D$64="HECTO",10000,IF($D$64="kilo",100000,IF($D$64="MEGA",100000000,IF($D$64="Giga",100000000000,IF($D$64="Tera",100000000000000,IF($D$64="PETA",100000000000000000,IF($D$64="DECI",10,IF($D$64="centi",1,IF($D$64="mili",0.1,IF($D$64="micro",0.0001,IF($D$64="nano",0.0000001,IF($D$64="pico",0.0000000001,IF($D$64="femto",0.0000000000001)))))))))))))))</f>
        <v>100000</v>
      </c>
      <c r="I69" s="65">
        <f t="shared" si="17"/>
        <v>23456700000</v>
      </c>
      <c r="J69" s="95" t="s">
        <v>88</v>
      </c>
      <c r="K69" s="139">
        <f t="shared" si="20"/>
        <v>23456700000</v>
      </c>
    </row>
    <row r="70" spans="3:14" x14ac:dyDescent="0.25">
      <c r="C70" s="93" t="s">
        <v>82</v>
      </c>
      <c r="D70" s="78">
        <f t="shared" si="18"/>
        <v>234567</v>
      </c>
      <c r="E70" s="136">
        <f>IF($D$64="none",0.001,IF($D$64="DECA",0.01,IF($D$64="HECTO",0.1,IF($D$64="kilo",1,IF($D$64="MEGA",1000,IF($D$64="Giga",1000000,IF($D$64="Tera",1000000000,IF($D$64="PETA",1000000000000,IF($D$64="DECI",0.0001,IF($D$64="centi",0.00001,IF($D$64="mili",0.000001,IF($D$64="micro",0.000000001,IF($D$64="nano",0.000000000001,IF($D$64="pico",0.000000000000001,IF($D$64="femto",0.000000000000000001)))))))))))))))</f>
        <v>1</v>
      </c>
      <c r="F70" s="55">
        <f t="shared" si="19"/>
        <v>234567</v>
      </c>
      <c r="G70" s="55"/>
      <c r="H70" s="134">
        <f>IF($D$64="none",1000,IF($D$64="DECA",10000,IF($D$64="HECTO",100000,IF($D$64="kilo",1000000,IF($D$64="MEGA",1000000000,IF($D$64="Giga",1000000000000,IF($D$64="Tera",1000000000000000,IF($D$64="PETA",1000000000000000000,IF($D$64="DECI",100,IF($D$64="centi",10,IF($D$64="mili",1,IF($D$64="micro",0.001,IF($D$64="nano",0.000001,IF($D$64="pico",0.000000001,IF($D$64="femto",0.000000000001)))))))))))))))</f>
        <v>1000000</v>
      </c>
      <c r="I70" s="65">
        <f t="shared" si="17"/>
        <v>234567000000</v>
      </c>
      <c r="J70" s="95" t="s">
        <v>89</v>
      </c>
      <c r="K70" s="139">
        <f t="shared" si="20"/>
        <v>234567000000</v>
      </c>
    </row>
    <row r="71" spans="3:14" x14ac:dyDescent="0.25">
      <c r="C71" s="93" t="s">
        <v>83</v>
      </c>
      <c r="D71" s="78">
        <f t="shared" si="18"/>
        <v>234.56700000000001</v>
      </c>
      <c r="E71" s="136">
        <f>IF($D$64="none",0.000001,IF($D$64="DECA",0.00001,IF($D$64="HECTO",0.0001,IF($D$64="kilo",0.001,IF($D$64="MEGA",1,IF($D$64="Giga",1000,IF($D$64="Tera",1000000,IF($D$64="PETA",1000000000,IF($D$64="DECI",0.0000001,IF($D$64="centi",0.00000001,IF($D$64="mili",0.000000001,IF($D$64="micro",0.000000000001,IF($D$64="nano",0.000000000000001,IF($D$64="pico",0.000000000000000001,IF($D$64="femto",1E-21)))))))))))))))</f>
        <v>1E-3</v>
      </c>
      <c r="F71" s="55">
        <f t="shared" si="19"/>
        <v>234.56700000000001</v>
      </c>
      <c r="G71" s="55"/>
      <c r="H71" s="134">
        <f>IF($D$64="none",1000000,IF($D$64="DECA",10000000,IF($D$64="HECTO",100000000,IF($D$64="kilo",1000000000,IF($D$64="MEGA",1000000000000,IF($D$64="Giga",1000000000000000,IF($D$64="Tera",1000000000000000000,IF($D$64="PETA",1E+21,IF($D$64="DECI",100000,IF($D$64="centi",10000,IF($D$64="mili",1000,IF($D$64="micro",1,IF($D$64="nano",0.001,IF($D$64="pico",0.000001,IF($D$64="femto",0.000000001)))))))))))))))</f>
        <v>1000000000</v>
      </c>
      <c r="I71" s="65">
        <f t="shared" si="17"/>
        <v>234567000000000</v>
      </c>
      <c r="J71" s="96" t="s">
        <v>90</v>
      </c>
      <c r="K71" s="80">
        <f t="shared" si="20"/>
        <v>234567000000000</v>
      </c>
    </row>
    <row r="72" spans="3:14" x14ac:dyDescent="0.25">
      <c r="C72" s="93" t="s">
        <v>84</v>
      </c>
      <c r="D72" s="78">
        <f t="shared" si="18"/>
        <v>0.234567</v>
      </c>
      <c r="E72" s="136">
        <f>IF($D$64="none",0.000000001,IF($D$64="DECA",0.00000001,IF($D$64="HECTO",0.0000001,IF($D$64="kilo",0.000001,IF($D$64="MEGA",0.001,IF($D$64="Giga",1,IF($D$64="Tera",1000,IF($D$64="PETA",1000000,IF($D$64="DECI",0.0000000001,IF($D$64="centi",0.00000000001,IF($D$64="mili",0.000000000001,IF($D$64="micro",0.000000000000001,IF($D$64="nano",0.000000000000000001,IF($D$64="pico",1E-21,IF($D$64="femto",1E-24)))))))))))))))</f>
        <v>9.9999999999999995E-7</v>
      </c>
      <c r="F72" s="55">
        <f t="shared" si="19"/>
        <v>0.234567</v>
      </c>
      <c r="G72" s="55"/>
      <c r="H72" s="134">
        <f>IF($D$64="none",1000000000,IF($D$64="DECA",10000000000,IF($D$64="HECTO",100000000000,IF($D$64="kilo",1000000000000,IF($D$64="MEGA",1000000000000000,IF($D$64="Giga",1000000000000000000,IF($D$64="Tera",1E+21,IF($D$64="PETA",1E+24,IF($D$64="DECI",100000000,IF($D$64="centi",10000000,IF($D$64="mili",1000000,IF($D$64="micro",1000,IF($D$64="nano",1,IF($D$64="pico",0.001,IF($D$64="femto",0.000001)))))))))))))))</f>
        <v>1000000000000</v>
      </c>
      <c r="I72" s="65">
        <f t="shared" si="17"/>
        <v>2.34567E+17</v>
      </c>
      <c r="J72" s="96" t="s">
        <v>91</v>
      </c>
      <c r="K72" s="80">
        <f t="shared" si="20"/>
        <v>2.34567E+17</v>
      </c>
    </row>
    <row r="73" spans="3:14" x14ac:dyDescent="0.25">
      <c r="C73" s="93" t="s">
        <v>85</v>
      </c>
      <c r="D73" s="78">
        <f t="shared" si="18"/>
        <v>2.3456700000000001E-4</v>
      </c>
      <c r="E73" s="136">
        <f>IF($D$64="none",0.000000000001,IF($D$64="DECA",0.00000000001,IF($D$64="HECTO",0.0000000001,IF($D$64="kilo",0.000000001,IF($D$64="MEGA",0.000001,IF($D$64="Giga",0.001,IF($D$64="Tera",1,IF($D$64="PETA",1000,IF($D$64="DECI",0.0000000000001,IF($D$64="centi",0.00000000000001,IF($D$64="mili",0.000000000000001,IF($D$64="micro",0.000000000000000001,IF($D$64="nano",1E-21,IF($D$64="pico",1E-24,IF($D$64="femto",1E-27)))))))))))))))</f>
        <v>1.0000000000000001E-9</v>
      </c>
      <c r="F73" s="55">
        <f t="shared" si="19"/>
        <v>2.3456700000000001E-4</v>
      </c>
      <c r="G73" s="55"/>
      <c r="H73" s="134">
        <f>IF($D$64="none",1000000000000,IF($D$64="DECA",10000000000000,IF($D$64="HECTO",100000000000000,IF($D$64="kilo",1000000000000000,IF($D$64="MEGA",1000000000000000000,IF($D$64="Giga",1E+21,IF($D$64="Tera",1E+24,IF($D$64="PETA",1E+27,IF($D$64="DECI",100000000000,IF($D$64="centi",10000000000,IF($D$64="mili",1000000000,IF($D$64="micro",1000000,IF($D$64="nano",1000,IF($D$64="pico",1,IF($D$64="femto",0.001)))))))))))))))</f>
        <v>1000000000000000</v>
      </c>
      <c r="I73" s="65">
        <f t="shared" si="17"/>
        <v>2.34567E+20</v>
      </c>
      <c r="J73" s="96" t="s">
        <v>92</v>
      </c>
      <c r="K73" s="80">
        <f t="shared" si="20"/>
        <v>2.34567E+20</v>
      </c>
    </row>
    <row r="74" spans="3:14" ht="13" thickBot="1" x14ac:dyDescent="0.3">
      <c r="C74" s="94" t="s">
        <v>86</v>
      </c>
      <c r="D74" s="79">
        <f t="shared" si="18"/>
        <v>2.3456699999999999E-7</v>
      </c>
      <c r="E74" s="137">
        <f>IF($D$64="none",0.000000000000001,IF($D$64="DECA",0.00000000000001,IF($D$64="HECTO",0.0000000000001,IF($D$64="kilo",0.000000000001,IF($D$64="MEGA",0.000000001,IF($D$64="Giga",0.000001,IF($D$64="Tera",0.001,IF($D$64="PETA",1,IF($D$64="DECI",0.0000000000000001,IF($D$64="centi",0.00000000000000001,IF($D$64="mili",0.000000000000000001,IF($D$64="micro",1E-21,IF($D$64="nano",1E-24,IF($D$64="pico",1E-27,IF($D$64="femto",1E-30)))))))))))))))</f>
        <v>9.9999999999999998E-13</v>
      </c>
      <c r="F74" s="75">
        <f t="shared" si="19"/>
        <v>2.3456699999999999E-7</v>
      </c>
      <c r="G74" s="75"/>
      <c r="H74" s="135">
        <f>IF($D$64="none",1000000000000000,IF($D$64="DECA",10000000000000000,IF($D$64="HECTO",100000000000000000,IF($D$64="kilo",1000000000000000000,IF($D$64="MEGA",1E+21,IF($D$64="Giga",1E+24,IF($D$64="Tera",1E+27,IF($D$64="PETA",1E+30,IF($D$64="DECI",100000000000000,IF($D$64="centi",10000000000000,IF($D$64="mili",1000000000000,IF($D$64="micro",1000000000,IF($D$64="nano",1000000,IF($D$64="pico",1000,IF($D$64="femto",1)))))))))))))))</f>
        <v>1E+18</v>
      </c>
      <c r="I74" s="76">
        <f t="shared" si="17"/>
        <v>2.3456699999999999E+23</v>
      </c>
      <c r="J74" s="97" t="s">
        <v>93</v>
      </c>
      <c r="K74" s="81">
        <f t="shared" si="20"/>
        <v>2.3456699999999999E+23</v>
      </c>
    </row>
    <row r="75" spans="3:14" x14ac:dyDescent="0.25">
      <c r="K75" s="72"/>
    </row>
    <row r="76" spans="3:14" x14ac:dyDescent="0.25">
      <c r="K76" s="72"/>
    </row>
    <row r="77" spans="3:14" ht="15" x14ac:dyDescent="0.3">
      <c r="C77" s="66" t="str">
        <f>IF('Instructions 说明'!$L$2="English", "For Heat Value and Density, you can refer to:", IF('Instructions 说明'!$L$2="Chinese", "关于热值和密度，可以参考："))</f>
        <v>For Heat Value and Density, you can refer to:</v>
      </c>
      <c r="K77" s="72"/>
    </row>
    <row r="78" spans="3:14" x14ac:dyDescent="0.25">
      <c r="K78" s="72"/>
    </row>
    <row r="79" spans="3:14" x14ac:dyDescent="0.25">
      <c r="K79" s="72"/>
    </row>
    <row r="80" spans="3:14" x14ac:dyDescent="0.25">
      <c r="K80" s="72"/>
    </row>
    <row r="87" spans="3:3" ht="15" x14ac:dyDescent="0.3">
      <c r="C87" s="66" t="str">
        <f>IF('Instructions 说明'!$L$2="English", "For other conversions:", IF('Instructions 说明'!$L$2="Chinese", "关于其他转换:"))</f>
        <v>For other conversions:</v>
      </c>
    </row>
    <row r="89" spans="3:3" x14ac:dyDescent="0.25">
      <c r="C89" s="67" t="s">
        <v>69</v>
      </c>
    </row>
    <row r="90" spans="3:3" x14ac:dyDescent="0.25">
      <c r="C90" s="67" t="s">
        <v>70</v>
      </c>
    </row>
    <row r="100" spans="1:21" ht="12.65" customHeight="1" x14ac:dyDescent="0.25">
      <c r="A100" s="151"/>
      <c r="B100" s="151"/>
      <c r="C100" s="151"/>
      <c r="D100" s="151"/>
      <c r="E100" s="151"/>
      <c r="F100" s="151"/>
      <c r="G100" s="151"/>
      <c r="H100" s="151"/>
      <c r="I100" s="151"/>
      <c r="J100" s="151"/>
      <c r="K100" s="151"/>
      <c r="L100" s="151"/>
      <c r="M100" s="151"/>
      <c r="N100" s="89"/>
      <c r="O100" s="89"/>
      <c r="P100" s="89"/>
      <c r="Q100" s="89"/>
      <c r="R100" s="89"/>
      <c r="S100" s="89"/>
      <c r="T100" s="89"/>
      <c r="U100" s="89"/>
    </row>
    <row r="101" spans="1:21" x14ac:dyDescent="0.25">
      <c r="A101" s="151"/>
      <c r="B101" s="151"/>
      <c r="C101" s="151"/>
      <c r="D101" s="151"/>
      <c r="E101" s="151"/>
      <c r="F101" s="151"/>
      <c r="G101" s="151"/>
      <c r="H101" s="151"/>
      <c r="I101" s="151"/>
      <c r="J101" s="151"/>
      <c r="K101" s="151"/>
      <c r="L101" s="151"/>
      <c r="M101" s="151"/>
      <c r="N101" s="89"/>
      <c r="O101" s="89"/>
      <c r="P101" s="89"/>
      <c r="Q101" s="89"/>
      <c r="R101" s="89"/>
      <c r="S101" s="89"/>
      <c r="T101" s="89"/>
      <c r="U101" s="89"/>
    </row>
    <row r="102" spans="1:21" x14ac:dyDescent="0.25">
      <c r="A102" s="151"/>
      <c r="B102" s="151"/>
      <c r="C102" s="151"/>
      <c r="D102" s="151"/>
      <c r="E102" s="151"/>
      <c r="F102" s="151"/>
      <c r="G102" s="151"/>
      <c r="H102" s="151"/>
      <c r="I102" s="151"/>
      <c r="J102" s="151"/>
      <c r="K102" s="151"/>
      <c r="L102" s="151"/>
      <c r="M102" s="151"/>
      <c r="N102" s="89"/>
      <c r="O102" s="89"/>
      <c r="P102" s="89"/>
      <c r="Q102" s="89"/>
      <c r="R102" s="89"/>
      <c r="S102" s="89"/>
      <c r="T102" s="89"/>
      <c r="U102" s="89"/>
    </row>
    <row r="103" spans="1:21" x14ac:dyDescent="0.25">
      <c r="A103" s="151"/>
      <c r="B103" s="151"/>
      <c r="C103" s="151"/>
      <c r="D103" s="151"/>
      <c r="E103" s="151"/>
      <c r="F103" s="151"/>
      <c r="G103" s="151"/>
      <c r="H103" s="151"/>
      <c r="I103" s="151"/>
      <c r="J103" s="151"/>
      <c r="K103" s="151"/>
      <c r="L103" s="151"/>
      <c r="M103" s="151"/>
      <c r="N103" s="89"/>
      <c r="O103" s="89"/>
      <c r="P103" s="89"/>
      <c r="Q103" s="89"/>
      <c r="R103" s="89"/>
      <c r="S103" s="89"/>
      <c r="T103" s="89"/>
      <c r="U103" s="89"/>
    </row>
    <row r="104" spans="1:21" x14ac:dyDescent="0.25">
      <c r="A104" s="151"/>
      <c r="B104" s="151"/>
      <c r="C104" s="151"/>
      <c r="D104" s="151"/>
      <c r="E104" s="151"/>
      <c r="F104" s="151"/>
      <c r="G104" s="151"/>
      <c r="H104" s="151"/>
      <c r="I104" s="151"/>
      <c r="J104" s="151"/>
      <c r="K104" s="151"/>
      <c r="L104" s="151"/>
      <c r="M104" s="151"/>
      <c r="N104" s="89"/>
      <c r="O104" s="89"/>
      <c r="P104" s="89"/>
      <c r="Q104" s="89"/>
      <c r="R104" s="89"/>
      <c r="S104" s="89"/>
      <c r="T104" s="89"/>
      <c r="U104" s="89"/>
    </row>
    <row r="105" spans="1:21" x14ac:dyDescent="0.25">
      <c r="A105" s="151"/>
      <c r="B105" s="151"/>
      <c r="C105" s="151"/>
      <c r="D105" s="151"/>
      <c r="E105" s="151"/>
      <c r="F105" s="151"/>
      <c r="G105" s="151"/>
      <c r="H105" s="151"/>
      <c r="I105" s="151"/>
      <c r="J105" s="151"/>
      <c r="K105" s="151"/>
      <c r="L105" s="151"/>
      <c r="M105" s="151"/>
      <c r="N105" s="89"/>
      <c r="O105" s="89"/>
      <c r="P105" s="89"/>
      <c r="Q105" s="89"/>
      <c r="R105" s="89"/>
      <c r="S105" s="89"/>
      <c r="T105" s="89"/>
      <c r="U105" s="89"/>
    </row>
    <row r="106" spans="1:21" x14ac:dyDescent="0.25">
      <c r="A106" s="151"/>
      <c r="B106" s="151"/>
      <c r="C106" s="151"/>
      <c r="D106" s="151"/>
      <c r="E106" s="151"/>
      <c r="F106" s="151"/>
      <c r="G106" s="151"/>
      <c r="H106" s="151"/>
      <c r="I106" s="151"/>
      <c r="J106" s="151"/>
      <c r="K106" s="151"/>
      <c r="L106" s="151"/>
      <c r="M106" s="151"/>
      <c r="N106" s="89"/>
      <c r="O106" s="89"/>
      <c r="P106" s="89"/>
      <c r="Q106" s="89"/>
      <c r="R106" s="89"/>
      <c r="S106" s="89"/>
      <c r="T106" s="89"/>
      <c r="U106" s="89"/>
    </row>
    <row r="107" spans="1:21" x14ac:dyDescent="0.25">
      <c r="A107" s="89"/>
      <c r="B107" s="89"/>
      <c r="C107" s="89"/>
      <c r="D107" s="89"/>
      <c r="E107" s="89"/>
      <c r="F107" s="89"/>
      <c r="G107" s="89"/>
      <c r="H107" s="89"/>
      <c r="I107" s="89"/>
      <c r="J107" s="89"/>
      <c r="K107" s="89"/>
      <c r="L107" s="89"/>
      <c r="M107" s="89"/>
      <c r="N107" s="89"/>
      <c r="O107" s="89"/>
      <c r="P107" s="89"/>
      <c r="Q107" s="89"/>
      <c r="R107" s="89"/>
      <c r="S107" s="89"/>
      <c r="T107" s="89"/>
      <c r="U107" s="89"/>
    </row>
    <row r="108" spans="1:21" x14ac:dyDescent="0.25">
      <c r="A108" s="89"/>
      <c r="B108" s="89"/>
      <c r="C108" s="89"/>
      <c r="D108" s="89"/>
      <c r="E108" s="89"/>
      <c r="F108" s="89"/>
      <c r="G108" s="89"/>
      <c r="H108" s="89"/>
      <c r="I108" s="89"/>
      <c r="J108" s="89"/>
      <c r="K108" s="89"/>
      <c r="L108" s="89"/>
      <c r="M108" s="89"/>
      <c r="N108" s="89"/>
      <c r="O108" s="89"/>
      <c r="P108" s="89"/>
      <c r="Q108" s="89"/>
      <c r="R108" s="89"/>
      <c r="S108" s="89"/>
      <c r="T108" s="89"/>
      <c r="U108" s="89"/>
    </row>
  </sheetData>
  <sheetProtection algorithmName="SHA-512" hashValue="ePYsNX3AGa80UXVrMuXp4z9Q++OvETBtp+sVMPoQ48m3eKT0Ir2EWm8PtVqGZSaF/GZ+1PrRafrF1/u38Dy3BQ==" saltValue="yj7sqZdhiz9xS4+hxtgJTA==" spinCount="100000" sheet="1" scenarios="1" formatCells="0"/>
  <mergeCells count="18">
    <mergeCell ref="C64:C66"/>
    <mergeCell ref="D64:D66"/>
    <mergeCell ref="J64:J66"/>
    <mergeCell ref="K64:K66"/>
    <mergeCell ref="C63:K63"/>
    <mergeCell ref="C62:K62"/>
    <mergeCell ref="N22:V22"/>
    <mergeCell ref="N42:V42"/>
    <mergeCell ref="C22:K22"/>
    <mergeCell ref="C23:K23"/>
    <mergeCell ref="C45:D45"/>
    <mergeCell ref="N23:O23"/>
    <mergeCell ref="Q23:S23"/>
    <mergeCell ref="C25:D25"/>
    <mergeCell ref="N43:O43"/>
    <mergeCell ref="H27:I27"/>
    <mergeCell ref="C37:D37"/>
    <mergeCell ref="J27:K27"/>
  </mergeCells>
  <phoneticPr fontId="8" type="noConversion"/>
  <hyperlinks>
    <hyperlink ref="C89" r:id="rId1" display="https://www.iea.org/reports/glossary-of-energy-units" xr:uid="{39CD6EBC-F7CE-4BAB-836F-E01B573EBA0F}"/>
    <hyperlink ref="C90" r:id="rId2" display="https://www.onlineconversion.com/energy.htm" xr:uid="{E5F4D13B-B358-43F4-BEC4-0726CD038EFA}"/>
  </hyperlinks>
  <pageMargins left="0.7" right="0.7" top="0.75" bottom="0.75" header="0.3" footer="0.3"/>
  <pageSetup orientation="portrait" r:id="rId3"/>
  <ignoredErrors>
    <ignoredError sqref="E31:F31" formula="1"/>
    <ignoredError sqref="J30:K34 K50:K58 U27:V39 O39 U47:V59 K41:K42 D69 D70 F70 D74 K67:K74 D68 F68 F69 D71 D72 D73 E68:E70 I74 I73 I72 I71 H74 F74 F73 F72 F71 E74 E71 G71 E72 G72 E73 G73 G74 I70 I68 I69 H67:I67 C2 D7:D10 C5 C6 D13:D14 C12 D16:D17 C15 C18 C22:K23 C27 D27:K27 C37 C39:D39 J39:K39 C25 C45:D45 J48:K48 D48 C62:K63 C65:K66 C64:J64 N62:N65 W24:W25 W44:W45 N42:V45 N22:V25 C77:C87 J28:K28 N26:T26 N46:T46" unlockedFormula="1"/>
    <ignoredError sqref="C48" formula="1" unlockedFormula="1"/>
  </ignoredErrors>
  <drawing r:id="rId4"/>
  <legacyDrawing r:id="rId5"/>
  <oleObjects>
    <mc:AlternateContent xmlns:mc="http://schemas.openxmlformats.org/markup-compatibility/2006">
      <mc:Choice Requires="x14">
        <oleObject progId="Acrobat Document" dvAspect="DVASPECT_ICON" shapeId="3083" r:id="rId6">
          <objectPr defaultSize="0" autoPict="0" r:id="rId7">
            <anchor moveWithCells="1">
              <from>
                <xdr:col>2</xdr:col>
                <xdr:colOff>50800</xdr:colOff>
                <xdr:row>78</xdr:row>
                <xdr:rowOff>88900</xdr:rowOff>
              </from>
              <to>
                <xdr:col>3</xdr:col>
                <xdr:colOff>69850</xdr:colOff>
                <xdr:row>84</xdr:row>
                <xdr:rowOff>146050</xdr:rowOff>
              </to>
            </anchor>
          </objectPr>
        </oleObject>
      </mc:Choice>
      <mc:Fallback>
        <oleObject progId="Acrobat Document" dvAspect="DVASPECT_ICON" shapeId="3083" r:id="rId6"/>
      </mc:Fallback>
    </mc:AlternateContent>
    <mc:AlternateContent xmlns:mc="http://schemas.openxmlformats.org/markup-compatibility/2006">
      <mc:Choice Requires="x14">
        <oleObject progId="Acrobat Document" dvAspect="DVASPECT_ICON" shapeId="3085" r:id="rId8">
          <objectPr defaultSize="0" r:id="rId9">
            <anchor moveWithCells="1">
              <from>
                <xdr:col>2</xdr:col>
                <xdr:colOff>31750</xdr:colOff>
                <xdr:row>91</xdr:row>
                <xdr:rowOff>57150</xdr:rowOff>
              </from>
              <to>
                <xdr:col>2</xdr:col>
                <xdr:colOff>933450</xdr:colOff>
                <xdr:row>96</xdr:row>
                <xdr:rowOff>57150</xdr:rowOff>
              </to>
            </anchor>
          </objectPr>
        </oleObject>
      </mc:Choice>
      <mc:Fallback>
        <oleObject progId="Acrobat Document" dvAspect="DVASPECT_ICON" shapeId="3085" r:id="rId8"/>
      </mc:Fallback>
    </mc:AlternateContent>
  </oleObjects>
  <extLst>
    <ext xmlns:x14="http://schemas.microsoft.com/office/spreadsheetml/2009/9/main" uri="{CCE6A557-97BC-4b89-ADB6-D9C93CAAB3DF}">
      <x14:dataValidations xmlns:xm="http://schemas.microsoft.com/office/excel/2006/main" count="10">
        <x14:dataValidation type="list" allowBlank="1" showInputMessage="1" showErrorMessage="1" xr:uid="{7311A324-B23A-4348-9B47-33B66A2CE84D}">
          <x14:formula1>
            <xm:f>'Data Validation Tab'!$N$1:$N$6</xm:f>
          </x14:formula1>
          <xm:sqref>P23</xm:sqref>
        </x14:dataValidation>
        <x14:dataValidation type="list" allowBlank="1" showInputMessage="1" showErrorMessage="1" xr:uid="{E5D583A1-F022-41AD-9F91-5151EA19C594}">
          <x14:formula1>
            <xm:f>'Data Validation Tab'!$M$1:$M$3</xm:f>
          </x14:formula1>
          <xm:sqref>L43 L23</xm:sqref>
        </x14:dataValidation>
        <x14:dataValidation type="list" allowBlank="1" showInputMessage="1" showErrorMessage="1" xr:uid="{4CCEC0DB-F7D8-4569-B6D2-5B8CA529A478}">
          <x14:formula1>
            <xm:f>'Data Validation Tab'!$O$1:$O$5</xm:f>
          </x14:formula1>
          <xm:sqref>P43</xm:sqref>
        </x14:dataValidation>
        <x14:dataValidation type="list" allowBlank="1" showInputMessage="1" showErrorMessage="1" xr:uid="{6EA6B595-9F50-4BF1-B38F-695FE005B7F2}">
          <x14:formula1>
            <xm:f>'Data Validation Tab'!$P$1:$P$11</xm:f>
          </x14:formula1>
          <xm:sqref>D30:D35</xm:sqref>
        </x14:dataValidation>
        <x14:dataValidation type="list" allowBlank="1" showInputMessage="1" showErrorMessage="1" xr:uid="{30C79931-4AB0-4EBE-A627-D2D3AD1EB3E9}">
          <x14:formula1>
            <xm:f>'Data Validation Tab'!$H$1:$H$5</xm:f>
          </x14:formula1>
          <xm:sqref>C50:C58</xm:sqref>
        </x14:dataValidation>
        <x14:dataValidation type="list" allowBlank="1" showInputMessage="1" showErrorMessage="1" xr:uid="{6BBF3EF6-1B89-46C2-8011-3226D0BF340B}">
          <x14:formula1>
            <xm:f>'Data Validation Tab'!$AC$1:$AC$2</xm:f>
          </x14:formula1>
          <xm:sqref>C41:C44</xm:sqref>
        </x14:dataValidation>
        <x14:dataValidation type="list" allowBlank="1" showInputMessage="1" showErrorMessage="1" xr:uid="{A5A521EB-1D61-4D3E-B8EE-CE492E27D96B}">
          <x14:formula1>
            <xm:f>'Data Validation Tab'!$AD$1:$AD$4</xm:f>
          </x14:formula1>
          <xm:sqref>D43:D44</xm:sqref>
        </x14:dataValidation>
        <x14:dataValidation type="list" allowBlank="1" showInputMessage="1" showErrorMessage="1" xr:uid="{3588E36E-78B5-4728-9A25-39BEC64A0E00}">
          <x14:formula1>
            <xm:f>'Data Validation Tab'!$AD$1:$AD$6</xm:f>
          </x14:formula1>
          <xm:sqref>D41:D42</xm:sqref>
        </x14:dataValidation>
        <x14:dataValidation type="list" allowBlank="1" showInputMessage="1" showErrorMessage="1" xr:uid="{5BA1B772-EA57-440A-AAFD-8AB7C5FB087E}">
          <x14:formula1>
            <xm:f>'Data Validation Tab'!$U$1:$U$7</xm:f>
          </x14:formula1>
          <xm:sqref>D50:D58</xm:sqref>
        </x14:dataValidation>
        <x14:dataValidation type="list" allowBlank="1" showInputMessage="1" showErrorMessage="1" xr:uid="{2C914690-D9F2-44F9-8DE4-03BB04961482}">
          <x14:formula1>
            <xm:f>'Data Validation Tab'!$AH$1:$AH$15</xm:f>
          </x14:formula1>
          <xm:sqref>D64:D66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7C64-14A7-4F12-BD5F-496F65355C1E}">
  <sheetPr codeName="Sheet4"/>
  <dimension ref="A1:D115"/>
  <sheetViews>
    <sheetView zoomScale="70" zoomScaleNormal="70" workbookViewId="0">
      <selection activeCell="B5" sqref="B5"/>
    </sheetView>
  </sheetViews>
  <sheetFormatPr defaultColWidth="8.7265625" defaultRowHeight="13" x14ac:dyDescent="0.3"/>
  <cols>
    <col min="1" max="1" width="2.26953125" style="68" customWidth="1"/>
    <col min="2" max="2" width="43.453125" style="69" bestFit="1" customWidth="1"/>
    <col min="3" max="3" width="23.1796875" style="69" customWidth="1"/>
    <col min="4" max="4" width="96.453125" style="69" bestFit="1" customWidth="1"/>
    <col min="5" max="16384" width="8.7265625" style="5"/>
  </cols>
  <sheetData>
    <row r="1" spans="1:4" s="69" customFormat="1" ht="12.5" x14ac:dyDescent="0.25">
      <c r="A1" s="69" t="str">
        <f>IF('Instructions 说明'!$L$2="English", "Term", IF('Instructions 说明'!$L$2="Chinese", "术语"))</f>
        <v>Term</v>
      </c>
      <c r="C1" s="69" t="str">
        <f>IF('Instructions 说明'!$L$2="English", "Acronym", IF('Instructions 说明'!$L$2="Chinese", "简写"))</f>
        <v>Acronym</v>
      </c>
      <c r="D1" s="69" t="str">
        <f>IF('Instructions 说明'!$L$2="English", "Definition", IF('Instructions 说明'!$L$2="Chinese", "定义"))</f>
        <v>Definition</v>
      </c>
    </row>
    <row r="2" spans="1:4" x14ac:dyDescent="0.3">
      <c r="A2" s="243" t="str">
        <f>IF('Instructions 说明'!L2="English", "Renewable Energy", IF('Instructions 说明'!L2="Chinese", "可再生能源"))</f>
        <v>Renewable Energy</v>
      </c>
      <c r="B2" s="243"/>
      <c r="C2" s="69" t="s">
        <v>71</v>
      </c>
      <c r="D2" s="5" t="str">
        <f>IF('Instructions 说明'!$L$2="English", "Energy taken from sources that are inexhaustible, e.g. wind, water, solar, geothermal energy and biofuels", IF('Instructions 说明'!$L$2="Chinese", "来自取之不尽用之不竭的能源，如风能、水能、太阳能、地热能和生物燃料"))</f>
        <v>Energy taken from sources that are inexhaustible, e.g. wind, water, solar, geothermal energy and biofuels</v>
      </c>
    </row>
    <row r="3" spans="1:4" ht="12.5" x14ac:dyDescent="0.25">
      <c r="A3" s="69"/>
      <c r="B3" s="5" t="str">
        <f>IF('Instructions 说明'!$L$2="English", "Wind Energy", IF('Instructions 说明'!$L$2="Chinese", "风能"))</f>
        <v>Wind Energy</v>
      </c>
      <c r="C3" s="69" t="s">
        <v>78</v>
      </c>
      <c r="D3" s="5" t="str">
        <f>IF('Instructions 说明'!$L$2="English", "Kinetic energy present in wind motion that can be converted to mechanical energy for driving pumps, mills, and electric power generators", IF('Instructions 说明'!$L$2="Chinese", "风力运动中存在的动能，可转化为机械能用于驱动 泵、磨机和发电机"))</f>
        <v>Kinetic energy present in wind motion that can be converted to mechanical energy for driving pumps, mills, and electric power generators</v>
      </c>
    </row>
    <row r="4" spans="1:4" ht="12.5" x14ac:dyDescent="0.25">
      <c r="A4" s="69"/>
      <c r="B4" s="5" t="str">
        <f>IF('Instructions 说明'!$L$2="English", "Solar Energy", IF('Instructions 说明'!$L$2="Chinese", "太阳能"))</f>
        <v>Solar Energy</v>
      </c>
      <c r="C4" s="69" t="s">
        <v>78</v>
      </c>
      <c r="D4" s="5" t="str">
        <f>IF('Instructions 说明'!$L$2="English", "Solar radiation exploited for hot water production or electricity generation", IF('Instructions 说明'!$L$2="Chinese", "用于热水生产或发电的太阳辐射"))</f>
        <v>Solar radiation exploited for hot water production or electricity generation</v>
      </c>
    </row>
    <row r="5" spans="1:4" ht="12.5" x14ac:dyDescent="0.25">
      <c r="A5" s="69"/>
      <c r="B5" s="5" t="str">
        <f>IF('Instructions 说明'!$L$2="English", "Hydro Energy", IF('Instructions 说明'!$L$2="Chinese", "水能"))</f>
        <v>Hydro Energy</v>
      </c>
      <c r="C5" s="69" t="s">
        <v>78</v>
      </c>
      <c r="D5" s="5" t="str">
        <f>IF('Instructions 说明'!$L$2="English", "Potential and kinetic energy of water converted into electricity in hydroelectric plants", IF('Instructions 说明'!$L$2="Chinese", "水力发电厂中水的势能和动能转化为电"))</f>
        <v>Potential and kinetic energy of water converted into electricity in hydroelectric plants</v>
      </c>
    </row>
    <row r="6" spans="1:4" ht="12.5" x14ac:dyDescent="0.25">
      <c r="A6" s="69"/>
      <c r="B6" s="5" t="str">
        <f>IF('Instructions 说明'!$L$2="English", "Geothermal Energy", IF('Instructions 说明'!$L$2="Chinese", "地热能"))</f>
        <v>Geothermal Energy</v>
      </c>
      <c r="C6" s="69" t="s">
        <v>78</v>
      </c>
      <c r="D6" s="5" t="str">
        <f>IF('Instructions 说明'!$L$2="English", "Energy available as heat emitted from within the earth's crust, usually in the form of hot water or steam", IF('Instructions 说明'!$L$2="Chinese", "从地壳内部发出的热量，通常以热水或蒸汽的形式提供的能量"))</f>
        <v>Energy available as heat emitted from within the earth's crust, usually in the form of hot water or steam</v>
      </c>
    </row>
    <row r="7" spans="1:4" ht="12.5" x14ac:dyDescent="0.25">
      <c r="A7" s="69"/>
      <c r="B7" s="5" t="str">
        <f>IF('Instructions 说明'!$L$2="English", "Biomass Energy", IF('Instructions 说明'!$L$2="Chinese", "生物能（生物燃料）"))</f>
        <v>Biomass Energy</v>
      </c>
      <c r="C7" s="69" t="s">
        <v>78</v>
      </c>
      <c r="D7" s="5" t="str">
        <f>IF('Instructions 说明'!$L$2="English", "Renewable energy produced from organic matter. Organic matter may either be used directly as a fuel or processed into liquids or gases", IF('Instructions 说明'!$L$2="Chinese", "由有机物质生产的可再生能源。有机物质可以直接用作燃料或加工成液体或气体"))</f>
        <v>Renewable energy produced from organic matter. Organic matter may either be used directly as a fuel or processed into liquids or gases</v>
      </c>
    </row>
    <row r="8" spans="1:4" ht="12.5" x14ac:dyDescent="0.25">
      <c r="A8" s="69"/>
      <c r="B8" s="5" t="str">
        <f>IF('Instructions 说明'!$L$2="English", "Ocean based Energy", IF('Instructions 说明'!$L$2="Chinese", "海洋能"))</f>
        <v>Ocean based Energy</v>
      </c>
      <c r="C8" s="69" t="s">
        <v>78</v>
      </c>
      <c r="D8" s="5" t="str">
        <f>IF('Instructions 说明'!$L$2="English", "Wave and tidal generate energy though turbines where as salinity gradient and ocean thermal energy generate thourgh chemical processes", IF('Instructions 说明'!$L$2="Chinese", "波浪和潮汐通过涡轮机产生能量，在涡轮机中，盐度梯度和海洋热能产生剧烈的化学过程。"))</f>
        <v>Wave and tidal generate energy though turbines where as salinity gradient and ocean thermal energy generate thourgh chemical processes</v>
      </c>
    </row>
    <row r="9" spans="1:4" ht="12.5" x14ac:dyDescent="0.25">
      <c r="A9" s="69"/>
      <c r="B9" s="5" t="str">
        <f>IF('Instructions 说明'!$L$2="English", "Renewable Energy Mix", IF('Instructions 说明'!$L$2="Chinese", "可再生源混合"))</f>
        <v>Renewable Energy Mix</v>
      </c>
      <c r="C9" s="69" t="s">
        <v>78</v>
      </c>
      <c r="D9" s="5" t="str">
        <f>IF('Instructions 说明'!$L$2="English", "Mix from any renewable sources", IF('Instructions 说明'!$L$2="Chinese", "从任何可再生来源的混合"))</f>
        <v>Mix from any renewable sources</v>
      </c>
    </row>
    <row r="10" spans="1:4" ht="12.5" x14ac:dyDescent="0.25">
      <c r="A10" s="69" t="str">
        <f>IF('Instructions 说明'!L2="English", "Energy Baseline", IF('Instructions 说明'!L2="Chinese", "能量基准线"))</f>
        <v>Energy Baseline</v>
      </c>
      <c r="C10" s="69" t="s">
        <v>72</v>
      </c>
      <c r="D10" s="5" t="str">
        <f>IF('Instructions 说明'!$L$2="English", "Quantitative reference which indicates a base for an energy comparison, preferrably of 12 months minimun", IF('Instructions 说明'!$L$2="Chinese", "定量参考表明能量比较的基础，至少12个月为宜"))</f>
        <v>Quantitative reference which indicates a base for an energy comparison, preferrably of 12 months minimun</v>
      </c>
    </row>
    <row r="11" spans="1:4" ht="12.5" x14ac:dyDescent="0.25">
      <c r="A11" s="69" t="str">
        <f>IF('Instructions 说明'!L2="English", "Energy intensity", IF('Instructions 说明'!L2="Chinese", "能量密度"))</f>
        <v>Energy intensity</v>
      </c>
      <c r="C11" s="69" t="s">
        <v>78</v>
      </c>
      <c r="D11" s="5" t="str">
        <f>IF('Instructions 说明'!$L$2="English", "Quantitative reference which indicates an energy consumption regarding an end product/headcount/area", IF('Instructions 说明'!$L$2="Chinese", "表示终端产品/人口/面积能耗的定量参考"))</f>
        <v>Quantitative reference which indicates an energy consumption regarding an end product/headcount/area</v>
      </c>
    </row>
    <row r="12" spans="1:4" ht="12.5" x14ac:dyDescent="0.25">
      <c r="A12" s="69" t="str">
        <f>IF('Instructions 说明'!L2="English", "Energy model", IF('Instructions 说明'!L2="Chinese", "能量模型"))</f>
        <v>Energy model</v>
      </c>
      <c r="C12" s="69" t="s">
        <v>78</v>
      </c>
      <c r="D12" s="5" t="str">
        <f>IF('Instructions 说明'!$L$2="English", "Representative process of energy consumption regarding a group of variables and constants", IF('Instructions 说明'!$L$2="Chinese", "关于一组变量和常数的代表性能耗过程"))</f>
        <v>Representative process of energy consumption regarding a group of variables and constants</v>
      </c>
    </row>
    <row r="13" spans="1:4" ht="12.5" x14ac:dyDescent="0.25">
      <c r="A13" s="69"/>
      <c r="B13" s="5" t="str">
        <f>IF('Instructions 说明'!$L$2="English", "Coefficient", IF('Instructions 说明'!$L$2="Chinese", "系数"))</f>
        <v>Coefficient</v>
      </c>
      <c r="C13" s="69" t="s">
        <v>78</v>
      </c>
      <c r="D13" s="5" t="str">
        <f>IF('Instructions 说明'!$L$2="English", "Numerical constant that multiplies a variable", IF('Instructions 说明'!$L$2="Chinese", "乘以变量的数值常数"))</f>
        <v>Numerical constant that multiplies a variable</v>
      </c>
    </row>
    <row r="14" spans="1:4" ht="12.5" x14ac:dyDescent="0.25">
      <c r="A14" s="69"/>
      <c r="B14" s="5" t="str">
        <f>IF('Instructions 说明'!$L$2="English", "Coefficient of variation", IF('Instructions 说明'!$L$2="Chinese", "变化系数"))</f>
        <v>Coefficient of variation</v>
      </c>
      <c r="C14" s="69" t="s">
        <v>114</v>
      </c>
      <c r="D14" s="5" t="str">
        <f>IF('Instructions 说明'!$L$2="English", "Ratio betweeen standard deviation and mean", IF('Instructions 说明'!$L$2="Chinese", "标准偏差与平均值之间的比率"))</f>
        <v>Ratio betweeen standard deviation and mean</v>
      </c>
    </row>
    <row r="15" spans="1:4" ht="12.5" x14ac:dyDescent="0.25">
      <c r="A15" s="69"/>
      <c r="B15" s="5" t="str">
        <f>IF('Instructions 说明'!$L$2="English", "Constant", IF('Instructions 说明'!$L$2="Chinese", "常数"))</f>
        <v>Constant</v>
      </c>
      <c r="C15" s="69" t="s">
        <v>78</v>
      </c>
      <c r="D15" s="5" t="str">
        <f>IF('Instructions 说明'!$L$2="English", "Fixed value", IF('Instructions 说明'!$L$2="Chinese", "固定值"))</f>
        <v>Fixed value</v>
      </c>
    </row>
    <row r="16" spans="1:4" ht="12.5" x14ac:dyDescent="0.25">
      <c r="A16" s="69"/>
      <c r="B16" s="5" t="str">
        <f>IF('Instructions 说明'!$L$2="English", "Correlation Coefficient", IF('Instructions 说明'!$L$2="Chinese", "相关系数"))</f>
        <v>Correlation Coefficient</v>
      </c>
      <c r="C16" s="69" t="s">
        <v>115</v>
      </c>
      <c r="D16" s="5" t="str">
        <f>IF('Instructions 说明'!$L$2="English", "Correlation between explained and total variation in Y", IF('Instructions 说明'!$L$2="Chinese", "Y的解释和总变化之间的相关性"))</f>
        <v>Correlation between explained and total variation in Y</v>
      </c>
    </row>
    <row r="17" spans="1:4" ht="12.5" x14ac:dyDescent="0.25">
      <c r="A17" s="69"/>
      <c r="B17" s="5" t="str">
        <f>IF('Instructions 说明'!$L$2="English", "Deviation", IF('Instructions 说明'!$L$2="Chinese", "偏差"))</f>
        <v>Deviation</v>
      </c>
      <c r="C17" s="69" t="s">
        <v>78</v>
      </c>
      <c r="D17" s="5" t="str">
        <f>IF('Instructions 说明'!$L$2="English", "Variation between two sets of value", IF('Instructions 说明'!$L$2="Chinese", "两组值之间的差异"))</f>
        <v>Variation between two sets of value</v>
      </c>
    </row>
    <row r="18" spans="1:4" ht="12.5" x14ac:dyDescent="0.25">
      <c r="A18" s="69"/>
      <c r="B18" s="5" t="str">
        <f>IF('Instructions 说明'!$L$2="English", "Lineal Regression", IF('Instructions 说明'!$L$2="Chinese", "线性回归"))</f>
        <v>Lineal Regression</v>
      </c>
      <c r="C18" s="69" t="s">
        <v>78</v>
      </c>
      <c r="D18" s="5" t="str">
        <f>IF('Instructions 说明'!$L$2="English", "Statistic procedure used to find relations between a group of variables", IF('Instructions 说明'!$L$2="Chinese", "用于查找一组变量之间关系的统计过程"))</f>
        <v>Statistic procedure used to find relations between a group of variables</v>
      </c>
    </row>
    <row r="19" spans="1:4" ht="12.5" x14ac:dyDescent="0.25">
      <c r="A19" s="69"/>
      <c r="B19" s="5" t="str">
        <f>IF('Instructions 说明'!$L$2="English", "Standard deviation", IF('Instructions 说明'!$L$2="Chinese", "标准偏差"))</f>
        <v>Standard deviation</v>
      </c>
      <c r="C19" s="69" t="s">
        <v>78</v>
      </c>
      <c r="D19" s="5" t="str">
        <f>IF('Instructions 说明'!$L$2="English", "Variation from a set of values from their mean", IF('Instructions 说明'!$L$2="Chinese", "一组值与其平均值的偏差"))</f>
        <v>Variation from a set of values from their mean</v>
      </c>
    </row>
    <row r="20" spans="1:4" ht="12.5" x14ac:dyDescent="0.25">
      <c r="A20" s="69"/>
      <c r="B20" s="5" t="str">
        <f>IF('Instructions 说明'!$L$2="English", "Standard error", IF('Instructions 说明'!$L$2="Chinese", "标准误差"))</f>
        <v>Standard error</v>
      </c>
      <c r="C20" s="69" t="s">
        <v>78</v>
      </c>
      <c r="D20" s="5" t="str">
        <f>IF('Instructions 说明'!$L$2="English", "Variation from a set of errors to the mean", IF('Instructions 说明'!$L$2="Chinese", "一组误差到平均值的偏差"))</f>
        <v>Variation from a set of errors to the mean</v>
      </c>
    </row>
    <row r="21" spans="1:4" ht="12.5" x14ac:dyDescent="0.25">
      <c r="A21" s="69"/>
      <c r="B21" s="5" t="str">
        <f>IF('Instructions 说明'!$L$2="English", "Statistic T", IF('Instructions 说明'!$L$2="Chinese", "统计T"))</f>
        <v>Statistic T</v>
      </c>
      <c r="C21" s="69" t="s">
        <v>78</v>
      </c>
      <c r="D21" s="5" t="str">
        <f>IF('Instructions 说明'!$L$2="English", "Statistic proof to determine if an estimation is statisticly significative ", IF('Instructions 说明'!$L$2="Chinese", "确定估计是否具有统计意义的统计证明"))</f>
        <v xml:space="preserve">Statistic proof to determine if an estimation is statisticly significative </v>
      </c>
    </row>
    <row r="22" spans="1:4" ht="12.5" x14ac:dyDescent="0.25">
      <c r="A22" s="69"/>
      <c r="B22" s="5" t="str">
        <f>IF('Instructions 说明'!$L$2="English", "Variation", IF('Instructions 说明'!$L$2="Chinese", "变化"))</f>
        <v>Variation</v>
      </c>
      <c r="C22" s="69" t="s">
        <v>78</v>
      </c>
      <c r="D22" s="5" t="str">
        <f>IF('Instructions 说明'!$L$2="English", "Variation from one value from the mean", IF('Instructions 说明'!$L$2="Chinese", "一个值与平均值的变化"))</f>
        <v>Variation from one value from the mean</v>
      </c>
    </row>
    <row r="23" spans="1:4" s="157" customFormat="1" ht="12.5" x14ac:dyDescent="0.25">
      <c r="A23" s="159" t="s">
        <v>73</v>
      </c>
      <c r="B23" s="159"/>
      <c r="C23" s="159" t="s">
        <v>78</v>
      </c>
      <c r="D23" s="160" t="str">
        <f>IF('Instructions 说明'!$L$2="English", "RE100 global corporate renewable initiative committed to aim 100% of RE", IF('Instructions 说明'!$L$2="Chinese", "全球公司可再生能源倡议致力于实现100%的可再生能源目标"))</f>
        <v>RE100 global corporate renewable initiative committed to aim 100% of RE</v>
      </c>
    </row>
    <row r="24" spans="1:4" ht="12.5" x14ac:dyDescent="0.25">
      <c r="A24" s="69" t="str">
        <f>IF('Instructions 说明'!L2="English", "Energy carrier", IF('Instructions 说明'!L2="Chinese", "能源载体"))</f>
        <v>Energy carrier</v>
      </c>
      <c r="C24" s="69" t="s">
        <v>78</v>
      </c>
      <c r="D24" s="71" t="str">
        <f>IF('Instructions 说明'!$L$2="English", "Transmitter of energy", IF('Instructions 说明'!$L$2="Chinese", "能量变送物"))</f>
        <v>Transmitter of energy</v>
      </c>
    </row>
    <row r="25" spans="1:4" ht="12.5" x14ac:dyDescent="0.25">
      <c r="A25" s="69"/>
      <c r="B25" s="5" t="str">
        <f>IF('Instructions 说明'!$L$2="English", "Electricity", IF('Instructions 说明'!$L$2="Chinese", "电力"))</f>
        <v>Electricity</v>
      </c>
      <c r="C25" s="69" t="s">
        <v>78</v>
      </c>
      <c r="D25" s="71" t="str">
        <f>IF('Instructions 说明'!$L$2="English", "Electricity is the flow of electrical power or charge provided", IF('Instructions 说明'!$L$2="Chinese", "电是提供的电力或电荷的流动"))</f>
        <v>Electricity is the flow of electrical power or charge provided</v>
      </c>
    </row>
    <row r="26" spans="1:4" ht="12.5" x14ac:dyDescent="0.25">
      <c r="A26" s="69"/>
      <c r="B26" s="5" t="str">
        <f>IF('Instructions 说明'!$L$2="English", "Steam", IF('Instructions 说明'!$L$2="Chinese", "蒸汽"))</f>
        <v>Steam</v>
      </c>
      <c r="C26" s="69" t="s">
        <v>78</v>
      </c>
      <c r="D26" s="71" t="str">
        <f>IF('Instructions 说明'!$L$2="English", "Water in vapor form provided as a service", IF('Instructions 说明'!$L$2="Chinese", "作为服务提供的蒸汽形式的水"))</f>
        <v>Water in vapor form provided as a service</v>
      </c>
    </row>
    <row r="27" spans="1:4" ht="12.5" x14ac:dyDescent="0.25">
      <c r="A27" s="69"/>
      <c r="B27" s="5" t="str">
        <f>IF('Instructions 说明'!$L$2="English", "Heat", IF('Instructions 说明'!$L$2="Chinese", "热能"))</f>
        <v>Heat</v>
      </c>
      <c r="C27" s="69" t="s">
        <v>78</v>
      </c>
      <c r="D27" s="71" t="str">
        <f>IF('Instructions 说明'!$L$2="English", "Fuel for transportation and manufacturing provided as a service", IF('Instructions 说明'!$L$2="Chinese", "作为服务提供的运输和制造燃料"))</f>
        <v>Fuel for transportation and manufacturing provided as a service</v>
      </c>
    </row>
    <row r="28" spans="1:4" ht="12.5" x14ac:dyDescent="0.25">
      <c r="A28" s="69"/>
      <c r="B28" s="5" t="str">
        <f>IF('Instructions 说明'!$L$2="English", "Cooling", IF('Instructions 说明'!$L$2="Chinese", "冷能"))</f>
        <v>Cooling</v>
      </c>
      <c r="C28" s="69" t="s">
        <v>78</v>
      </c>
      <c r="D28" s="71" t="str">
        <f>IF('Instructions 说明'!$L$2="English", "Energy provided as a service for cooling purposes", IF('Instructions 说明'!$L$2="Chinese", "作为服务提供的用于冷却的能源"))</f>
        <v>Energy provided as a service for cooling purposes</v>
      </c>
    </row>
    <row r="29" spans="1:4" ht="37.5" x14ac:dyDescent="0.25">
      <c r="A29" s="69"/>
      <c r="B29" s="5" t="str">
        <f>IF('Instructions 说明'!$L$2="English", "Fuels", IF('Instructions 说明'!$L$2="Chinese", "燃料"))</f>
        <v>Fuels</v>
      </c>
      <c r="C29" s="69" t="s">
        <v>78</v>
      </c>
      <c r="D29" s="71" t="str">
        <f>IF('Instructions 说明'!$L$2="English", "Any material substance that can be consumed to supply heat or power. Included are petroleum, coal, and natural gas (the fossil fuels), and other consumable materials, such as uranium, biomass, and hydrogen provided for generation of electricity purposes", IF('Instructions 说明'!$L$2="Chinese", "任何可用于供热或供电的物质。其中包括石油、煤炭和天然气（化石燃料），以及用于发电的其他消耗材料，如铀、生物质和氢气"))</f>
        <v>Any material substance that can be consumed to supply heat or power. Included are petroleum, coal, and natural gas (the fossil fuels), and other consumable materials, such as uranium, biomass, and hydrogen provided for generation of electricity purposes</v>
      </c>
    </row>
    <row r="30" spans="1:4" ht="25" x14ac:dyDescent="0.25">
      <c r="A30" s="69" t="str">
        <f>IF('Instructions 说明'!L2="English", "Energy Attribute Certificate", IF('Instructions 说明'!L2="Chinese", "能源属性证书"))</f>
        <v>Energy Attribute Certificate</v>
      </c>
      <c r="C30" s="69" t="s">
        <v>74</v>
      </c>
      <c r="D30" s="71" t="str">
        <f>IF('Instructions 说明'!$L$2="English", "Contractual instruments to convey information about produced renewable electricity and the actual amount.", IF('Instructions 说明'!$L$2="Chinese", "传达可生产再生电力和实际电量信息的合同工具"))</f>
        <v>Contractual instruments to convey information about produced renewable electricity and the actual amount.</v>
      </c>
    </row>
    <row r="31" spans="1:4" ht="25.5" x14ac:dyDescent="0.3">
      <c r="B31" s="5" t="str">
        <f>IF('Instructions 说明'!$L$2="English", "Green Energy Certificate", IF('Instructions 说明'!$L$2="Chinese", "绿色能源证书"))</f>
        <v>Green Energy Certificate</v>
      </c>
      <c r="C31" s="69" t="s">
        <v>0</v>
      </c>
      <c r="D31" s="71" t="str">
        <f>IF('Instructions 说明'!$L$2="English", "Type of EAC only applicable for China energy market, these are designed and maintained by the China Renewable Energy Engineering Institute (CREEI) and approved by GHG Protocol", IF('Instructions 说明'!$L$2="Chinese", "EAC的一种类型，仅适用于中国能源市场，由中国可再生能源工程研究院（CREEI）设计和维护，并经GHG协议批准"))</f>
        <v>Type of EAC only applicable for China energy market, these are designed and maintained by the China Renewable Energy Engineering Institute (CREEI) and approved by GHG Protocol</v>
      </c>
    </row>
    <row r="32" spans="1:4" ht="25.5" x14ac:dyDescent="0.3">
      <c r="B32" s="5" t="str">
        <f>IF('Instructions 说明'!$L$2="English", "Guarantee of Origin", IF('Instructions 说明'!$L$2="Chinese", "原产地保证"))</f>
        <v>Guarantee of Origin</v>
      </c>
      <c r="C32" s="69" t="s">
        <v>1</v>
      </c>
      <c r="D32" s="71" t="str">
        <f>IF('Instructions 说明'!$L$2="English", "Type of EAC only applicable for Europe's energy market, commonly used for renewable energy. These are approved by GHG protocol.", IF('Instructions 说明'!$L$2="Chinese", "EAC的一种类型，仅适用于欧洲能源市场，通常用于可再生能源。这些都得到了GHG协议的批准。"))</f>
        <v>Type of EAC only applicable for Europe's energy market, commonly used for renewable energy. These are approved by GHG protocol.</v>
      </c>
    </row>
    <row r="33" spans="1:4" ht="25.5" x14ac:dyDescent="0.3">
      <c r="B33" s="5" t="str">
        <f>IF('Instructions 说明'!$L$2="English", "Indian Renewable Energy Certificate", IF('Instructions 说明'!$L$2="Chinese", "印度可再生能源证书"))</f>
        <v>Indian Renewable Energy Certificate</v>
      </c>
      <c r="C33" s="69" t="s">
        <v>2</v>
      </c>
      <c r="D33" s="71" t="str">
        <f>IF('Instructions 说明'!$L$2="English", "Type of EAC only applicable in Indian's energy market, only used for renewable energy. These are approved by GHG Protocol", IF('Instructions 说明'!$L$2="Chinese", "EAC的一种类型，仅适用于印度能源市场，仅适用于可再生能源。这些都得到了GHG协议的批准。"))</f>
        <v>Type of EAC only applicable in Indian's energy market, only used for renewable energy. These are approved by GHG Protocol</v>
      </c>
    </row>
    <row r="34" spans="1:4" ht="25.5" x14ac:dyDescent="0.3">
      <c r="B34" s="5" t="str">
        <f>IF('Instructions 说明'!$L$2="English", "International Renewable Energy Certificate",IF('Instructions 说明'!$L$2="Chinese","国际可再生能源证书"))</f>
        <v>International Renewable Energy Certificate</v>
      </c>
      <c r="C34" s="69" t="s">
        <v>3</v>
      </c>
      <c r="D34" s="71" t="str">
        <f>IF('Instructions 说明'!$L$2="English", "Type of EAC, applicable in this countries' energy market, only used for renewable energy. These are approved by GHG Protocol. ", IF('Instructions 说明'!$L$2="Chinese", "EAC的一种类型，仅适用于该国的能源市场，仅适用于可再生能源。这些都得到了GHG协议的批准。"))</f>
        <v xml:space="preserve">Type of EAC, applicable in this countries' energy market, only used for renewable energy. These are approved by GHG Protocol. </v>
      </c>
    </row>
    <row r="35" spans="1:4" ht="25.5" x14ac:dyDescent="0.3">
      <c r="B35" s="5" t="str">
        <f>IF('Instructions 说明'!$L$2="English", "Renewable Energy Certificate", IF('Instructions 说明'!$L$2="Chinese", "可再生能源证书"))</f>
        <v>Renewable Energy Certificate</v>
      </c>
      <c r="C35" s="69" t="s">
        <v>4</v>
      </c>
      <c r="D35" s="71" t="str">
        <f>IF('Instructions 说明'!$L$2="English", "Type of EAC only applicable in North America's energy market, only used for renewable energy. These are approved by GHG Protocol. ", IF('Instructions 说明'!$L$2="Chinese", "EAC的一种类型，仅适用于北美能源市场，仅适用于可再生能源。这些都得到了GHG协议的批准。"))</f>
        <v xml:space="preserve">Type of EAC only applicable in North America's energy market, only used for renewable energy. These are approved by GHG Protocol. </v>
      </c>
    </row>
    <row r="36" spans="1:4" x14ac:dyDescent="0.3">
      <c r="B36" s="5" t="str">
        <f>IF('Instructions 说明'!$L$2="English", "Japan Credit", IF('Instructions 说明'!$L$2="Chinese", "日本信贷"))</f>
        <v>Japan Credit</v>
      </c>
      <c r="C36" s="69" t="s">
        <v>5</v>
      </c>
      <c r="D36" s="71" t="str">
        <f>IF('Instructions 说明'!$L$2="English", "Type of EAC only applicable in Japan's energy market. These are approved by the GHG Protocol.", IF('Instructions 说明'!$L$2="Chinese", "EAC的一种类型，仅适用于日本能源市场。这些都得到了GHG协议的批准。"))</f>
        <v>Type of EAC only applicable in Japan's energy market. These are approved by the GHG Protocol.</v>
      </c>
    </row>
    <row r="37" spans="1:4" x14ac:dyDescent="0.3">
      <c r="B37" s="5" t="str">
        <f>IF('Instructions 说明'!$L$2="English", "Australian Large-Scale Generation Certificates", IF('Instructions 说明'!$L$2="Chinese", "澳大利亚大型发电证书"))</f>
        <v>Australian Large-Scale Generation Certificates</v>
      </c>
      <c r="C37" s="69" t="s">
        <v>6</v>
      </c>
      <c r="D37" s="71" t="str">
        <f>IF('Instructions 说明'!$L$2="English", "Type of EAC only applicable in Australian's energy market. These are approved by the GHG Protocol.", IF('Instructions 说明'!$L$2="Chinese", "EAC的一种类型，仅适用于澳大利亚能源市场。这些都得到了GHG协议的批准。"))</f>
        <v>Type of EAC only applicable in Australian's energy market. These are approved by the GHG Protocol.</v>
      </c>
    </row>
    <row r="38" spans="1:4" ht="25.5" x14ac:dyDescent="0.3">
      <c r="B38" s="5" t="str">
        <f>IF('Instructions 说明'!$L$2="English", "Non-Fossil Certificates ", IF('Instructions 说明'!$L$2="Chinese", "非化石证书"))</f>
        <v xml:space="preserve">Non-Fossil Certificates </v>
      </c>
      <c r="C38" s="69" t="s">
        <v>7</v>
      </c>
      <c r="D38" s="71" t="str">
        <f>IF('Instructions 说明'!$L$2="English", "Type of EAC only applicable in Japan's energy market, not exclusive to renewable energy. These are approved by the GHG Protocol.", IF('Instructions 说明'!$L$2="Chinese", "EAC的一种类型，仅适用于日本能源市场，不仅适用于可再生能源。这些都得到了GHG协议的批准。"))</f>
        <v>Type of EAC only applicable in Japan's energy market, not exclusive to renewable energy. These are approved by the GHG Protocol.</v>
      </c>
    </row>
    <row r="39" spans="1:4" x14ac:dyDescent="0.3">
      <c r="B39" s="5" t="str">
        <f>IF('Instructions 说明'!$L$2="English", "Renewable Energy Guarantees of Origin", IF('Instructions 说明'!$L$2="Chinese", "可再生能源原产地保证"))</f>
        <v>Renewable Energy Guarantees of Origin</v>
      </c>
      <c r="C39" s="69" t="s">
        <v>8</v>
      </c>
      <c r="D39" s="71" t="str">
        <f>IF('Instructions 说明'!$L$2="English", "Type of EAC only applicable in UK's energy market. These are approved by the GHG Protocol. ", IF('Instructions 说明'!$L$2="Chinese", "EAC的一种类型，仅适用于英国能源市场。这些都得到了GHG协议的批准。"))</f>
        <v xml:space="preserve">Type of EAC only applicable in UK's energy market. These are approved by the GHG Protocol. </v>
      </c>
    </row>
    <row r="40" spans="1:4" x14ac:dyDescent="0.3">
      <c r="B40" s="5" t="str">
        <f>IF('Instructions 说明'!$L$2="English", "Tradable Instrument for Global Renewables", IF('Instructions 说明'!$L$2="Chinese", "全球可再生能源可交易工具"))</f>
        <v>Tradable Instrument for Global Renewables</v>
      </c>
      <c r="C40" s="69" t="s">
        <v>9</v>
      </c>
      <c r="D40" s="71" t="str">
        <f>IF('Instructions 说明'!$L$2="English", "Type of EAC applicable for globals energy market. These are approved by the GHG Protocol. ", IF('Instructions 说明'!$L$2="Chinese", "EAC的一种类型，仅适用于国际能源市场。这些都得到了GHG协议的批准。"))</f>
        <v xml:space="preserve">Type of EAC applicable for globals energy market. These are approved by the GHG Protocol. </v>
      </c>
    </row>
    <row r="41" spans="1:4" x14ac:dyDescent="0.3">
      <c r="B41" s="5" t="str">
        <f>IF('Instructions 说明'!$L$2="English", "Transition Renewable Energy Certificates", IF('Instructions 说明'!$L$2="Chinese", "过渡可再生能源证书"))</f>
        <v>Transition Renewable Energy Certificates</v>
      </c>
      <c r="C41" s="69" t="s">
        <v>10</v>
      </c>
      <c r="D41" s="71" t="str">
        <f>IF('Instructions 说明'!$L$2="English", "Type of EAC only applicable in Taiwain's energy market. These are approved by the GHG Protocol.", IF('Instructions 说明'!$L$2="Chinese", "EAC的一种类型，仅适用于台湾能源市场。这些都得到了GHG协议的批准。"))</f>
        <v>Type of EAC only applicable in Taiwain's energy market. These are approved by the GHG Protocol.</v>
      </c>
    </row>
    <row r="42" spans="1:4" x14ac:dyDescent="0.3">
      <c r="B42" s="5" t="str">
        <f>IF('Instructions 说明'!$L$2="English", "United States - Renewable Energy Certificates ", IF('Instructions 说明'!$L$2="Chinese", "美国-可再生能源证书"))</f>
        <v xml:space="preserve">United States - Renewable Energy Certificates </v>
      </c>
      <c r="C42" s="69" t="s">
        <v>11</v>
      </c>
      <c r="D42" s="71" t="str">
        <f>IF('Instructions 说明'!$L$2="English", "Type of EAC only applicable in US energy market. These are approved by the GHG Protocol. ", IF('Instructions 说明'!$L$2="Chinese", "EAC的一种类型，仅适用于美国能源市场。这些都得到了GHG协议的批准。"))</f>
        <v xml:space="preserve">Type of EAC only applicable in US energy market. These are approved by the GHG Protocol. </v>
      </c>
    </row>
    <row r="43" spans="1:4" ht="25" x14ac:dyDescent="0.25">
      <c r="A43" s="69" t="str">
        <f>IF('Instructions 说明'!$L$2="English", "Declared unit", IF('Instructions 说明'!$L$2="Chinese", "申报单位"))</f>
        <v>Declared unit</v>
      </c>
      <c r="C43" s="69" t="s">
        <v>77</v>
      </c>
      <c r="D43" s="71" t="str">
        <f>IF('Instructions 说明'!$L$2="English", "Quantity of a product or product system on the basis of the performance it delivers in its end-use application", IF('Instructions 说明'!$L$2="Chinese", "基于其在最终用途应用中的性能产品或产品系统的数量"))</f>
        <v>Quantity of a product or product system on the basis of the performance it delivers in its end-use application</v>
      </c>
    </row>
    <row r="44" spans="1:4" ht="25" x14ac:dyDescent="0.25">
      <c r="A44" s="69" t="str">
        <f>IF('Instructions 说明'!$L$2="English", "Energy Management System", IF('Instructions 说明'!$L$2="Chinese", "能源管理体系"))</f>
        <v>Energy Management System</v>
      </c>
      <c r="C44" s="69" t="s">
        <v>75</v>
      </c>
      <c r="D44" s="71" t="str">
        <f>IF('Instructions 说明'!$L$2="English", "Framework used by an organization in order to establish an energy politic, objectives, targets, action plans and processes for managing a scope of energy services.", IF('Instructions 说明'!$L$2="Chinese", "组织为建立能源政策、目标、行动计划和管理能源服务范围的流程而使用的框架"))</f>
        <v>Framework used by an organization in order to establish an energy politic, objectives, targets, action plans and processes for managing a scope of energy services.</v>
      </c>
    </row>
    <row r="45" spans="1:4" ht="12.5" x14ac:dyDescent="0.25">
      <c r="A45" s="69" t="str">
        <f>IF('Instructions 说明'!$L$2="English", "Heat Value", IF('Instructions 说明'!$L$2="Chinese", "热能"))</f>
        <v>Heat Value</v>
      </c>
      <c r="C45" s="69" t="s">
        <v>76</v>
      </c>
      <c r="D45" s="71" t="str">
        <f>IF('Instructions 说明'!$L$2="English", "Measure of the energy content of the physical unit of any combustible fuel", IF('Instructions 说明'!$L$2="Chinese", "测量任何可燃燃料物理单位的能量含量"))</f>
        <v>Measure of the energy content of the physical unit of any combustible fuel</v>
      </c>
    </row>
    <row r="46" spans="1:4" ht="12.5" x14ac:dyDescent="0.25">
      <c r="A46" s="69" t="str">
        <f>IF('Instructions 说明'!$L$2="English", "Density", IF('Instructions 说明'!$L$2="Chinese", "密度"))</f>
        <v>Density</v>
      </c>
      <c r="C46" s="69" t="s">
        <v>78</v>
      </c>
      <c r="D46" s="71" t="str">
        <f>IF('Instructions 说明'!$L$2="English", "Degree of consistency measured by the quantity of mass per unit volume", IF('Instructions 说明'!$L$2="Chinese", "通过单位体积质量测量的一致性程度"))</f>
        <v>Degree of consistency measured by the quantity of mass per unit volume</v>
      </c>
    </row>
    <row r="47" spans="1:4" ht="12.5" x14ac:dyDescent="0.25">
      <c r="A47" s="69" t="str">
        <f>IF('Instructions 说明'!$L$2="English", "Greenhouse Gas", IF('Instructions 说明'!$L$2="Chinese", "温室气体"))</f>
        <v>Greenhouse Gas</v>
      </c>
      <c r="C47" s="69" t="s">
        <v>107</v>
      </c>
      <c r="D47" s="71" t="str">
        <f>IF('Instructions 说明'!$L$2="English", "Gases that trap heat into the atmosphere, such as, CO2, CH4, NOx, etc. ", IF('Instructions 说明'!$L$2="Chinese", "大气层中聚集热量的气体，如CO2、CH4、NOx等"))</f>
        <v xml:space="preserve">Gases that trap heat into the atmosphere, such as, CO2, CH4, NOx, etc. </v>
      </c>
    </row>
    <row r="48" spans="1:4" ht="12.5" x14ac:dyDescent="0.25">
      <c r="A48" s="69" t="str">
        <f>IF('Instructions 说明'!$L$2="English", "GHG Protocol", IF('Instructions 说明'!$L$2="Chinese", "温室气体协议"))</f>
        <v>GHG Protocol</v>
      </c>
      <c r="C48" s="69" t="s">
        <v>78</v>
      </c>
      <c r="D48" s="71" t="str">
        <f>IF('Instructions 说明'!$L$2="English", "Global standardized frameworks to measure and manage greenhouse gas ", IF('Instructions 说明'!$L$2="Chinese", "测量和管理温室气体的全球标准化框架"))</f>
        <v xml:space="preserve">Global standardized frameworks to measure and manage greenhouse gas </v>
      </c>
    </row>
    <row r="49" spans="1:4" x14ac:dyDescent="0.3">
      <c r="B49" s="5" t="str">
        <f>IF('Instructions 说明'!$L$2="English", "Location-based", IF('Instructions 说明'!$L$2="Chinese", "基于位置"))</f>
        <v>Location-based</v>
      </c>
      <c r="C49" s="69" t="s">
        <v>78</v>
      </c>
      <c r="D49" s="5" t="str">
        <f>IF('Instructions 说明'!$L$2="English", "Method for reflecting average emissions intensity of grid on which energy consumption occurs", IF('Instructions 说明'!$L$2="Chinese", "反映能源消耗所在电网平均排放强度的方法"))</f>
        <v>Method for reflecting average emissions intensity of grid on which energy consumption occurs</v>
      </c>
    </row>
    <row r="50" spans="1:4" x14ac:dyDescent="0.3">
      <c r="B50" s="5" t="str">
        <f>IF('Instructions 说明'!$L$2="English", "Market-based", IF('Instructions 说明'!$L$2="Chinese", "基于市场"))</f>
        <v>Market-based</v>
      </c>
      <c r="C50" s="69" t="s">
        <v>78</v>
      </c>
      <c r="D50" s="5" t="str">
        <f>IF('Instructions 说明'!$L$2="English", "Method for reflecting average emissions from electricity that companies/organizations have purposefully chosen", IF('Instructions 说明'!$L$2="Chinese", "反映公司/组织有意选择的电力平均排放量的方法"))</f>
        <v>Method for reflecting average emissions from electricity that companies/organizations have purposefully chosen</v>
      </c>
    </row>
    <row r="51" spans="1:4" x14ac:dyDescent="0.3">
      <c r="B51" s="5" t="str">
        <f>IF('Instructions 说明'!$L$2="English", "Scope 1", IF('Instructions 说明'!$L$2="Chinese", "范围1"))</f>
        <v>Scope 1</v>
      </c>
      <c r="C51" s="69" t="s">
        <v>78</v>
      </c>
      <c r="D51" s="5" t="str">
        <f>IF('Instructions 说明'!$L$2="English", "Direct emissions from company-owned and controlled resources.", IF('Instructions 说明'!$L$2="Chinese", "公司拥有和控制资源的直接排放"))</f>
        <v>Direct emissions from company-owned and controlled resources.</v>
      </c>
    </row>
    <row r="52" spans="1:4" x14ac:dyDescent="0.3">
      <c r="B52" s="5" t="str">
        <f>IF('Instructions 说明'!$L$2="English", "Scope 2", IF('Instructions 说明'!$L$2="Chinese", "范围2"))</f>
        <v>Scope 2</v>
      </c>
      <c r="C52" s="69" t="s">
        <v>78</v>
      </c>
      <c r="D52" s="5" t="str">
        <f>IF('Instructions 说明'!$L$2="English", "Indirect emissions from purchased electricity, steam, heating and cooling for own use", IF('Instructions 说明'!$L$2="Chinese", "购买自用电、蒸汽、供暖和制冷产生的间接排放"))</f>
        <v>Indirect emissions from purchased electricity, steam, heating and cooling for own use</v>
      </c>
    </row>
    <row r="53" spans="1:4" x14ac:dyDescent="0.3">
      <c r="B53" s="5" t="str">
        <f>IF('Instructions 说明'!$L$2="English", "Scope 3", IF('Instructions 说明'!$L$2="Chinese", "范围3"))</f>
        <v>Scope 3</v>
      </c>
      <c r="C53" s="69" t="s">
        <v>78</v>
      </c>
      <c r="D53" s="5" t="str">
        <f>IF('Instructions 说明'!$L$2="English", "Indirect emissions from value chain incluiding upstream and downstream emissions. ", IF('Instructions 说明'!$L$2="Chinese", "价值链的间接排放，包括上游和下游排放"))</f>
        <v xml:space="preserve">Indirect emissions from value chain incluiding upstream and downstream emissions. </v>
      </c>
    </row>
    <row r="54" spans="1:4" x14ac:dyDescent="0.3">
      <c r="A54" s="68" t="str">
        <f>IF('Instructions 说明'!$L$2="English", "Targets", IF('Instructions 说明'!$L$2="Chinese", "目标"))</f>
        <v>Targets</v>
      </c>
      <c r="C54" s="69" t="s">
        <v>78</v>
      </c>
      <c r="D54" s="5" t="str">
        <f>IF('Instructions 说明'!$L$2="English", "Defined goal to be achieved, considering base year's emissions. ", IF('Instructions 说明'!$L$2="Chinese", "考虑到基准年的排放量而确定要实现的目标"))</f>
        <v xml:space="preserve">Defined goal to be achieved, considering base year's emissions. </v>
      </c>
    </row>
    <row r="55" spans="1:4" x14ac:dyDescent="0.3">
      <c r="B55" s="5" t="str">
        <f>IF('Instructions 说明'!$L$2="English", "Absolute", IF('Instructions 说明'!$L$2="Chinese", "绝对"))</f>
        <v>Absolute</v>
      </c>
      <c r="C55" s="69" t="s">
        <v>78</v>
      </c>
      <c r="D55" s="5" t="str">
        <f>IF('Instructions 说明'!$L$2="English", "Aim to reduce GHG emissions by a set amount.", IF('Instructions 说明'!$L$2="Chinese", "目标是将温室气体排放量减少一定数量"))</f>
        <v>Aim to reduce GHG emissions by a set amount.</v>
      </c>
    </row>
    <row r="56" spans="1:4" x14ac:dyDescent="0.3">
      <c r="B56" s="5" t="str">
        <f>IF('Instructions 说明'!$L$2="English", "Intensity", IF('Instructions 说明'!$L$2="Chinese", "强度"))</f>
        <v>Intensity</v>
      </c>
      <c r="C56" s="69" t="s">
        <v>78</v>
      </c>
      <c r="D56" s="5" t="str">
        <f>IF('Instructions 说明'!$L$2="English", "Normalized metric that sets an organization's emissions target relative to ab economic or operational variable. ", IF('Instructions 说明'!$L$2="Chinese", "相对于经济或运营变量设定组织排放目标的标准化指标"))</f>
        <v xml:space="preserve">Normalized metric that sets an organization's emissions target relative to ab economic or operational variable. </v>
      </c>
    </row>
    <row r="57" spans="1:4" x14ac:dyDescent="0.3">
      <c r="B57" s="5" t="str">
        <f>IF('Instructions 说明'!$L$2="English", "Net-zero target(s)", IF('Instructions 说明'!$L$2="Chinese", "净零目标"))</f>
        <v>Net-zero target(s)</v>
      </c>
      <c r="C57" s="69" t="s">
        <v>78</v>
      </c>
      <c r="D57" s="5" t="str">
        <f>IF('Instructions 说明'!$L$2="English", "Target to reduce GHG emissions to as close to zero as possible", IF('Instructions 说明'!$L$2="Chinese", "将温室气体排放量降至尽可能接近零的目标"))</f>
        <v>Target to reduce GHG emissions to as close to zero as possible</v>
      </c>
    </row>
    <row r="58" spans="1:4" x14ac:dyDescent="0.3">
      <c r="B58" s="5" t="str">
        <f>IF('Instructions 说明'!$L$2="English", "Target(s) to reduce methane emissions", IF('Instructions 说明'!$L$2="Chinese", "减少甲烷排放的目标"))</f>
        <v>Target(s) to reduce methane emissions</v>
      </c>
      <c r="C58" s="69" t="s">
        <v>78</v>
      </c>
      <c r="D58" s="5" t="str">
        <f>IF('Instructions 说明'!$L$2="English", "Target to reduce methane emissions ", IF('Instructions 说明'!$L$2="Chinese", "减少甲烷排放的目标"))</f>
        <v xml:space="preserve">Target to reduce methane emissions </v>
      </c>
    </row>
    <row r="59" spans="1:4" x14ac:dyDescent="0.3">
      <c r="A59" s="68" t="str">
        <f>IF('Instructions 说明'!$L$2="English", "Science based targets", IF('Instructions 说明'!$L$2="Chinese", "基于科学的目标"))</f>
        <v>Science based targets</v>
      </c>
      <c r="C59" s="69" t="s">
        <v>108</v>
      </c>
      <c r="D59" s="5" t="str">
        <f>IF('Instructions 说明'!$L$2="English", "Targets in line with the latest climate science deems necessary to meet the goals of the Paris Agreement", IF('Instructions 说明'!$L$2="Chinese", "符合最新气候科学的目标是实现《巴黎协定》目标所必需的"))</f>
        <v>Targets in line with the latest climate science deems necessary to meet the goals of the Paris Agreement</v>
      </c>
    </row>
    <row r="60" spans="1:4" ht="36.5" customHeight="1" x14ac:dyDescent="0.3">
      <c r="A60" s="68" t="str">
        <f>IF('Instructions 说明'!$L$2="English", "Paris Agreement", IF('Instructions 说明'!$L$2="Chinese", "巴黎协定"))</f>
        <v>Paris Agreement</v>
      </c>
      <c r="C60" s="69" t="s">
        <v>78</v>
      </c>
      <c r="D60" s="71" t="str">
        <f>IF('Instructions 说明'!$L$2="English", "Legally binding international treaty, commitments from all countries to reduce their emissions and work together to adapt to the impacts of climate change, and calls on countries to strengthen their commitments over time", IF('Instructions 说明'!$L$2="Chinese", "具有法律约束力的国际条约，各国承诺减少排放，共同努力适应气候变化的影响，并呼吁各国逐步加强承诺"))</f>
        <v>Legally binding international treaty, commitments from all countries to reduce their emissions and work together to adapt to the impacts of climate change, and calls on countries to strengthen their commitments over time</v>
      </c>
    </row>
    <row r="61" spans="1:4" x14ac:dyDescent="0.3">
      <c r="A61" s="68" t="str">
        <f>IF('Instructions 说明'!$L$2="English", "Secondary material", IF('Instructions 说明'!$L$2="Chinese", "二次材料"))</f>
        <v>Secondary material</v>
      </c>
      <c r="C61" s="69" t="s">
        <v>78</v>
      </c>
      <c r="D61" s="5" t="str">
        <f>IF('Instructions 说明'!$L$2="English", "Materials that have been used, recycled and sold for use in manufacturing.", IF('Instructions 说明'!$L$2="Chinese", "在制造业中经过使用、回收和再出售的材料"))</f>
        <v>Materials that have been used, recycled and sold for use in manufacturing.</v>
      </c>
    </row>
    <row r="62" spans="1:4" x14ac:dyDescent="0.3">
      <c r="B62" s="5" t="str">
        <f>IF('Instructions 说明'!$L$2="English", "Pre-consumer material", IF('Instructions 说明'!$L$2="Chinese", "消费前材料"))</f>
        <v>Pre-consumer material</v>
      </c>
      <c r="C62" s="69" t="s">
        <v>78</v>
      </c>
      <c r="D62" s="5" t="str">
        <f>IF('Instructions 说明'!$L$2="English", "Material previously used in other process", IF('Instructions 说明'!$L$2="Chinese", "先前用于其他工艺的材料"))</f>
        <v>Material previously used in other process</v>
      </c>
    </row>
    <row r="63" spans="1:4" x14ac:dyDescent="0.3">
      <c r="B63" s="5" t="str">
        <f>IF('Instructions 说明'!$L$2="English", "Post-consumer material", IF('Instructions 说明'!$L$2="Chinese", "消费后材料"))</f>
        <v>Post-consumer material</v>
      </c>
      <c r="C63" s="69" t="s">
        <v>78</v>
      </c>
      <c r="D63" s="5" t="str">
        <f>IF('Instructions 说明'!$L$2="English", "Material disposed as solid waste", IF('Instructions 说明'!$L$2="Chinese", "作为固体废物处理的材料"))</f>
        <v>Material disposed as solid waste</v>
      </c>
    </row>
    <row r="64" spans="1:4" x14ac:dyDescent="0.3">
      <c r="B64" s="5" t="str">
        <f>IF('Instructions 说明'!$L$2="English", "Re-utilization material", IF('Instructions 说明'!$L$2="Chinese", "再利用材料"))</f>
        <v>Re-utilization material</v>
      </c>
      <c r="C64" s="69" t="s">
        <v>78</v>
      </c>
      <c r="D64" s="5" t="str">
        <f>IF('Instructions 说明'!$L$2="English", "Material that can be re used", IF('Instructions 说明'!$L$2="Chinese", "可重复使用的材料"))</f>
        <v>Material that can be re used</v>
      </c>
    </row>
    <row r="65" spans="1:4" x14ac:dyDescent="0.25">
      <c r="A65" s="109" t="str">
        <f>IF('Instructions 说明'!$L$2="English", "Filler content", IF('Instructions 说明'!$L$2="Chinese", "填料含量"))</f>
        <v>Filler content</v>
      </c>
      <c r="B65" s="110"/>
      <c r="C65" s="69" t="s">
        <v>78</v>
      </c>
      <c r="D65" s="5" t="str">
        <f>IF('Instructions 说明'!$L$2="English", "Particles added to resin or binders, commonly used fillers are limestone, talc, MgO, cellulose, methylcellulose, etc.", IF('Instructions 说明'!$L$2="Chinese", "添加到树脂或粘合剂中的颗粒，常用的填料是石灰石、滑石、MgO、纤维素、甲基纤维素等。"))</f>
        <v>Particles added to resin or binders, commonly used fillers are limestone, talc, MgO, cellulose, methylcellulose, etc.</v>
      </c>
    </row>
    <row r="66" spans="1:4" x14ac:dyDescent="0.3">
      <c r="B66" s="5" t="str">
        <f>IF('Instructions 说明'!$L$2="English", "Secondary filler content", IF('Instructions 说明'!$L$2="Chinese", "二次填料含量"))</f>
        <v>Secondary filler content</v>
      </c>
      <c r="C66" s="69" t="s">
        <v>78</v>
      </c>
      <c r="D66" s="5" t="str">
        <f>IF('Instructions 说明'!$L$2="English", "Filler material previously used,recycled and sold for use in plastic/thermoplastic manufacturing", IF('Instructions 说明'!$L$2="Chinese", "先前用于塑料/热塑性塑料制造的填充材料，回收和出售"))</f>
        <v>Filler material previously used,recycled and sold for use in plastic/thermoplastic manufacturing</v>
      </c>
    </row>
    <row r="67" spans="1:4" x14ac:dyDescent="0.25">
      <c r="A67" s="109" t="str">
        <f>IF('Instructions 说明'!$L$2="English", "Fiber content", IF('Instructions 说明'!$L$2="Chinese", "纤维含量"))</f>
        <v>Fiber content</v>
      </c>
      <c r="C67" s="69" t="s">
        <v>78</v>
      </c>
      <c r="D67" s="5" t="str">
        <f>IF('Instructions 说明'!$L$2="English", "Plastic fiber content, fibers are used to strect the limits of plastics, such as glass fibers, aramid, and natural fibers as jute and flax. ", IF('Instructions 说明'!$L$2="Chinese", "塑料纤维含量，纤维用于拉伸塑料的极限，如玻璃纤维、芳纶和天然纤维，如黄麻和亚麻。"))</f>
        <v xml:space="preserve">Plastic fiber content, fibers are used to strect the limits of plastics, such as glass fibers, aramid, and natural fibers as jute and flax. </v>
      </c>
    </row>
    <row r="68" spans="1:4" x14ac:dyDescent="0.3">
      <c r="B68" s="5" t="str">
        <f>IF('Instructions 说明'!$L$2="English", "Secondary fiber content", IF('Instructions 说明'!$L$2="Chinese", "二次纤维含量"))</f>
        <v>Secondary fiber content</v>
      </c>
      <c r="C68" s="69" t="s">
        <v>78</v>
      </c>
      <c r="D68" s="5" t="str">
        <f>IF('Instructions 说明'!$L$2="English", "Fiber material previously used,recycled and sold for use in plastic/thermoplastic manufacturing", IF('Instructions 说明'!$L$2="Chinese", "先前用于塑料/热塑性塑料制造的纤维含量，回收和出售"))</f>
        <v>Fiber material previously used,recycled and sold for use in plastic/thermoplastic manufacturing</v>
      </c>
    </row>
    <row r="69" spans="1:4" ht="12.5" x14ac:dyDescent="0.25">
      <c r="A69" s="69"/>
      <c r="D69"/>
    </row>
    <row r="70" spans="1:4" ht="12.5" x14ac:dyDescent="0.25">
      <c r="A70" s="69"/>
      <c r="D70"/>
    </row>
    <row r="71" spans="1:4" ht="12.5" x14ac:dyDescent="0.25">
      <c r="A71" s="69"/>
      <c r="D71"/>
    </row>
    <row r="72" spans="1:4" ht="12.5" x14ac:dyDescent="0.25">
      <c r="A72" s="69"/>
      <c r="D72"/>
    </row>
    <row r="73" spans="1:4" ht="12.5" x14ac:dyDescent="0.25">
      <c r="A73" s="69"/>
      <c r="D73"/>
    </row>
    <row r="74" spans="1:4" ht="12.5" x14ac:dyDescent="0.25">
      <c r="A74" s="69"/>
      <c r="D74"/>
    </row>
    <row r="75" spans="1:4" ht="12.5" x14ac:dyDescent="0.25">
      <c r="A75" s="69"/>
      <c r="D75"/>
    </row>
    <row r="76" spans="1:4" ht="12.5" x14ac:dyDescent="0.25">
      <c r="A76" s="69"/>
      <c r="D76"/>
    </row>
    <row r="77" spans="1:4" ht="12.5" x14ac:dyDescent="0.25">
      <c r="A77" s="69"/>
      <c r="D77"/>
    </row>
    <row r="78" spans="1:4" ht="12.5" x14ac:dyDescent="0.25">
      <c r="A78" s="69"/>
      <c r="D78"/>
    </row>
    <row r="79" spans="1:4" ht="12.5" x14ac:dyDescent="0.25">
      <c r="A79" s="69"/>
      <c r="D79"/>
    </row>
    <row r="80" spans="1:4" ht="12.5" x14ac:dyDescent="0.25">
      <c r="A80" s="69"/>
      <c r="D80"/>
    </row>
    <row r="81" spans="1:4" ht="12.5" x14ac:dyDescent="0.25">
      <c r="A81" s="69"/>
      <c r="D81"/>
    </row>
    <row r="82" spans="1:4" ht="12.5" x14ac:dyDescent="0.25">
      <c r="A82" s="69"/>
      <c r="D82"/>
    </row>
    <row r="83" spans="1:4" ht="12.5" x14ac:dyDescent="0.25">
      <c r="A83" s="69"/>
      <c r="D83"/>
    </row>
    <row r="84" spans="1:4" ht="12.5" x14ac:dyDescent="0.25">
      <c r="A84" s="69"/>
      <c r="D84"/>
    </row>
    <row r="85" spans="1:4" ht="12.5" x14ac:dyDescent="0.25">
      <c r="A85" s="69"/>
      <c r="D85"/>
    </row>
    <row r="86" spans="1:4" ht="12.5" x14ac:dyDescent="0.25">
      <c r="A86" s="69"/>
      <c r="D86"/>
    </row>
    <row r="87" spans="1:4" ht="12.5" x14ac:dyDescent="0.25">
      <c r="A87" s="69"/>
      <c r="D87"/>
    </row>
    <row r="88" spans="1:4" ht="12.5" x14ac:dyDescent="0.25">
      <c r="A88" s="69"/>
      <c r="D88"/>
    </row>
    <row r="89" spans="1:4" ht="12.5" x14ac:dyDescent="0.25">
      <c r="A89" s="69"/>
      <c r="D89"/>
    </row>
    <row r="90" spans="1:4" ht="12.5" x14ac:dyDescent="0.25">
      <c r="A90" s="69"/>
      <c r="D90"/>
    </row>
    <row r="91" spans="1:4" ht="12.5" x14ac:dyDescent="0.25">
      <c r="A91" s="69"/>
      <c r="D91"/>
    </row>
    <row r="92" spans="1:4" ht="12.5" x14ac:dyDescent="0.25">
      <c r="A92" s="69"/>
      <c r="D92"/>
    </row>
    <row r="93" spans="1:4" ht="12.5" x14ac:dyDescent="0.25">
      <c r="A93" s="5"/>
      <c r="C93"/>
      <c r="D93"/>
    </row>
    <row r="94" spans="1:4" ht="12.5" x14ac:dyDescent="0.25">
      <c r="A94" s="5"/>
      <c r="C94"/>
      <c r="D94"/>
    </row>
    <row r="95" spans="1:4" ht="12.5" x14ac:dyDescent="0.25">
      <c r="A95" s="5"/>
      <c r="C95"/>
      <c r="D95"/>
    </row>
    <row r="96" spans="1:4" ht="12.5" x14ac:dyDescent="0.25">
      <c r="A96" s="5"/>
      <c r="C96"/>
      <c r="D96"/>
    </row>
    <row r="97" spans="1:4" ht="12.5" x14ac:dyDescent="0.25">
      <c r="A97" s="5"/>
      <c r="C97"/>
      <c r="D97"/>
    </row>
    <row r="98" spans="1:4" ht="12.5" x14ac:dyDescent="0.25">
      <c r="A98" s="5"/>
      <c r="C98"/>
      <c r="D98"/>
    </row>
    <row r="99" spans="1:4" ht="12.5" x14ac:dyDescent="0.25">
      <c r="A99" s="5"/>
      <c r="C99"/>
      <c r="D99"/>
    </row>
    <row r="100" spans="1:4" ht="12.5" x14ac:dyDescent="0.25">
      <c r="A100" s="5"/>
      <c r="C100"/>
      <c r="D100"/>
    </row>
    <row r="101" spans="1:4" ht="12.5" x14ac:dyDescent="0.25">
      <c r="A101" s="5"/>
      <c r="C101"/>
      <c r="D101"/>
    </row>
    <row r="102" spans="1:4" ht="12.5" x14ac:dyDescent="0.25">
      <c r="A102" s="5"/>
      <c r="C102"/>
      <c r="D102"/>
    </row>
    <row r="103" spans="1:4" ht="12.5" x14ac:dyDescent="0.25">
      <c r="A103" s="5"/>
      <c r="C103"/>
      <c r="D103"/>
    </row>
    <row r="104" spans="1:4" ht="12.5" x14ac:dyDescent="0.25">
      <c r="A104" s="5"/>
      <c r="C104"/>
      <c r="D104"/>
    </row>
    <row r="105" spans="1:4" ht="12.5" x14ac:dyDescent="0.25">
      <c r="A105" s="5"/>
      <c r="C105"/>
      <c r="D105"/>
    </row>
    <row r="106" spans="1:4" ht="12.5" x14ac:dyDescent="0.25">
      <c r="A106" s="5"/>
      <c r="C106"/>
      <c r="D106"/>
    </row>
    <row r="107" spans="1:4" ht="12.5" x14ac:dyDescent="0.25">
      <c r="A107" s="5"/>
      <c r="C107"/>
      <c r="D107"/>
    </row>
    <row r="108" spans="1:4" ht="12.5" x14ac:dyDescent="0.25">
      <c r="A108" s="5"/>
      <c r="C108"/>
      <c r="D108"/>
    </row>
    <row r="109" spans="1:4" ht="12.5" x14ac:dyDescent="0.25">
      <c r="A109" s="5"/>
      <c r="C109"/>
      <c r="D109"/>
    </row>
    <row r="110" spans="1:4" ht="12.5" x14ac:dyDescent="0.25">
      <c r="A110" s="5"/>
      <c r="C110"/>
      <c r="D110"/>
    </row>
    <row r="111" spans="1:4" ht="12.5" x14ac:dyDescent="0.25">
      <c r="A111" s="5"/>
      <c r="C111"/>
      <c r="D111"/>
    </row>
    <row r="112" spans="1:4" ht="12.5" x14ac:dyDescent="0.25">
      <c r="A112" s="5"/>
      <c r="C112"/>
      <c r="D112"/>
    </row>
    <row r="113" spans="1:4" ht="12.5" x14ac:dyDescent="0.25">
      <c r="A113" s="5"/>
      <c r="C113"/>
      <c r="D113"/>
    </row>
    <row r="114" spans="1:4" ht="12.5" x14ac:dyDescent="0.25">
      <c r="A114" s="5"/>
      <c r="C114"/>
      <c r="D114"/>
    </row>
    <row r="115" spans="1:4" ht="12.5" x14ac:dyDescent="0.25">
      <c r="A115" s="5"/>
      <c r="C115"/>
      <c r="D115"/>
    </row>
  </sheetData>
  <sortState xmlns:xlrd2="http://schemas.microsoft.com/office/spreadsheetml/2017/richdata2" ref="L2:L68">
    <sortCondition ref="L1:L68"/>
  </sortState>
  <mergeCells count="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 说明</vt:lpstr>
      <vt:lpstr>Data Validation Tab</vt:lpstr>
      <vt:lpstr>Energy Consumption Global全球能源消耗</vt:lpstr>
      <vt:lpstr>Scrap and GHG Tab 废料和温室气体页</vt:lpstr>
      <vt:lpstr>Energy Conversions Tab 能量转换页</vt:lpstr>
      <vt:lpstr>Definitions Tab 定义页</vt:lpstr>
      <vt:lpstr>'Instructions 说明'!Print_Area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Mercedes Vazquez</dc:creator>
  <cp:lastModifiedBy>Luz Mercedes Vazquez</cp:lastModifiedBy>
  <dcterms:created xsi:type="dcterms:W3CDTF">2022-09-20T15:18:15Z</dcterms:created>
  <dcterms:modified xsi:type="dcterms:W3CDTF">2023-04-06T02:20:27Z</dcterms:modified>
</cp:coreProperties>
</file>